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8800" windowHeight="12370" tabRatio="811"/>
  </bookViews>
  <sheets>
    <sheet name="販売計画" sheetId="13" r:id="rId1"/>
    <sheet name="収支計画" sheetId="15" r:id="rId2"/>
    <sheet name="付加価値額計画" sheetId="27" r:id="rId3"/>
  </sheets>
  <definedNames>
    <definedName name="政策目的">#REF!</definedName>
    <definedName name="管轄局">#REF!</definedName>
    <definedName name="_xlnm.Print_Area" localSheetId="0">販売計画!$A$1:$L$40</definedName>
    <definedName name="_xlnm.Print_Area" localSheetId="1">収支計画!$A$1:$K$34</definedName>
    <definedName name="_xlnm.Print_Area" localSheetId="2">付加価値額計画!$A$1:$K$51</definedName>
  </definedNames>
  <calcPr calcId="191029" concurrentCalc="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東海農政局</author>
  </authors>
  <commentList>
    <comment ref="B8" authorId="0">
      <text>
        <r>
          <rPr>
            <sz val="9"/>
            <color indexed="81"/>
            <rFont val="ＭＳ Ｐゴシック"/>
          </rPr>
          <t>機械導入効果がある場合は反映させる（例：コンバイン導入により適期収穫が可能となり、一等級玄米の出荷割合が増加し単価が向上するなど。またその旨を備考に記載）</t>
        </r>
      </text>
    </comment>
    <comment ref="D4" authorId="0">
      <text>
        <r>
          <rPr>
            <sz val="9"/>
            <color indexed="81"/>
            <rFont val="ＭＳ Ｐゴシック"/>
          </rPr>
          <t>現状は計画承認時点で客観的に把握できる直近の資料を用いて記入する。</t>
        </r>
      </text>
    </comment>
    <comment ref="L4" authorId="0">
      <text>
        <r>
          <rPr>
            <sz val="9"/>
            <color indexed="81"/>
            <rFont val="ＭＳ Ｐゴシック"/>
          </rPr>
          <t>生産規模、単収、販売単価等の根拠を記載する。
必要に応じて参考資料を添付する。</t>
        </r>
      </text>
    </comment>
    <comment ref="B6" authorId="0">
      <text>
        <r>
          <rPr>
            <sz val="9"/>
            <color indexed="81"/>
            <rFont val="ＭＳ Ｐゴシック"/>
          </rPr>
          <t>機械導入による効果がある場合は反映させる（例：ロータリー導入により排水性が向上し、小麦や大豆の単収が向上するなど。またその旨を備考に記載）</t>
        </r>
      </text>
    </comment>
    <comment ref="J39" authorId="0">
      <text>
        <r>
          <rPr>
            <sz val="9"/>
            <color indexed="81"/>
            <rFont val="ＭＳ Ｐゴシック"/>
          </rPr>
          <t>新規就農者にあっては、青年等就農計画等に記載された年間農業所得目標から換算された売上高又は現状の売上高に1.1を乗じた売上高のうち、いずれか高いものが目標となっていること</t>
        </r>
      </text>
    </comment>
  </commentList>
</comments>
</file>

<file path=xl/comments2.xml><?xml version="1.0" encoding="utf-8"?>
<comments xmlns="http://schemas.openxmlformats.org/spreadsheetml/2006/main">
  <authors>
    <author>東海農政局</author>
  </authors>
  <commentList>
    <comment ref="I48" authorId="0">
      <text>
        <r>
          <rPr>
            <sz val="9"/>
            <color indexed="81"/>
            <rFont val="ＭＳ Ｐゴシック"/>
          </rPr>
          <t>新規就農者にあっては、青年等就農計画等に記載された年間農業所得目標から換算された付加価値額又は現状の付加価値額に1.1を乗じた付加価値額のうち、いずれか高いものが目標となっていること</t>
        </r>
      </text>
    </comment>
  </commentList>
</comments>
</file>

<file path=xl/sharedStrings.xml><?xml version="1.0" encoding="utf-8"?>
<sst xmlns="http://schemas.openxmlformats.org/spreadsheetml/2006/main" xmlns:r="http://schemas.openxmlformats.org/officeDocument/2006/relationships" count="186" uniqueCount="186">
  <si>
    <t>単収</t>
    <rPh sb="0" eb="1">
      <t>タン</t>
    </rPh>
    <rPh sb="1" eb="2">
      <t>シュウ</t>
    </rPh>
    <phoneticPr fontId="4"/>
  </si>
  <si>
    <t>ａ</t>
  </si>
  <si>
    <t>－</t>
  </si>
  <si>
    <t>※機械等の導入により経営改善効果のある作物を記入</t>
    <rPh sb="1" eb="3">
      <t>キカイ</t>
    </rPh>
    <rPh sb="3" eb="4">
      <t>ナド</t>
    </rPh>
    <rPh sb="5" eb="7">
      <t>ドウニュウ</t>
    </rPh>
    <rPh sb="10" eb="12">
      <t>ケイエイ</t>
    </rPh>
    <rPh sb="12" eb="14">
      <t>カイゼン</t>
    </rPh>
    <rPh sb="14" eb="16">
      <t>コウカ</t>
    </rPh>
    <rPh sb="19" eb="21">
      <t>サクモツ</t>
    </rPh>
    <rPh sb="22" eb="24">
      <t>キニュウ</t>
    </rPh>
    <phoneticPr fontId="4"/>
  </si>
  <si>
    <t>①</t>
  </si>
  <si>
    <t>【農産物生産・販売の部】</t>
    <rPh sb="1" eb="4">
      <t>ノウサンブツ</t>
    </rPh>
    <rPh sb="4" eb="6">
      <t>セイサン</t>
    </rPh>
    <rPh sb="7" eb="9">
      <t>ハンバイ</t>
    </rPh>
    <rPh sb="10" eb="11">
      <t>ブ</t>
    </rPh>
    <phoneticPr fontId="4"/>
  </si>
  <si>
    <t>収入の内容</t>
  </si>
  <si>
    <t>経費の内容</t>
  </si>
  <si>
    <t>○○の農業経営の現状と今後の販売計画</t>
    <rPh sb="3" eb="5">
      <t>ノウギョウ</t>
    </rPh>
    <rPh sb="5" eb="7">
      <t>ケイエイ</t>
    </rPh>
    <rPh sb="8" eb="10">
      <t>ゲンジョウ</t>
    </rPh>
    <rPh sb="11" eb="13">
      <t>コンゴ</t>
    </rPh>
    <rPh sb="14" eb="16">
      <t>ハンバイ</t>
    </rPh>
    <rPh sb="16" eb="18">
      <t>ケイカク</t>
    </rPh>
    <phoneticPr fontId="4"/>
  </si>
  <si>
    <t>水稲</t>
    <rPh sb="0" eb="2">
      <t>スイトウ</t>
    </rPh>
    <phoneticPr fontId="4"/>
  </si>
  <si>
    <t>生産規模</t>
    <rPh sb="0" eb="2">
      <t>セイサン</t>
    </rPh>
    <rPh sb="2" eb="4">
      <t>キボ</t>
    </rPh>
    <phoneticPr fontId="4"/>
  </si>
  <si>
    <t>雇人費</t>
    <rPh sb="0" eb="1">
      <t>ヤトイ</t>
    </rPh>
    <rPh sb="1" eb="2">
      <t>ジン</t>
    </rPh>
    <rPh sb="2" eb="3">
      <t>ヒ</t>
    </rPh>
    <phoneticPr fontId="4"/>
  </si>
  <si>
    <t>生産用の固定資産に対する固定資産税、自動車税等</t>
    <rPh sb="0" eb="3">
      <t>セイサンヨウ</t>
    </rPh>
    <rPh sb="4" eb="8">
      <t>コテイシサン</t>
    </rPh>
    <rPh sb="9" eb="10">
      <t>タイ</t>
    </rPh>
    <rPh sb="12" eb="14">
      <t>コテイ</t>
    </rPh>
    <rPh sb="14" eb="17">
      <t>シサンゼイ</t>
    </rPh>
    <rPh sb="18" eb="22">
      <t>ジドウシャゼイ</t>
    </rPh>
    <rPh sb="22" eb="23">
      <t>ナド</t>
    </rPh>
    <phoneticPr fontId="4"/>
  </si>
  <si>
    <t>②</t>
  </si>
  <si>
    <t>種苗費</t>
  </si>
  <si>
    <t>kg/10a</t>
  </si>
  <si>
    <t>現状</t>
    <rPh sb="0" eb="2">
      <t>ゲンジョウ</t>
    </rPh>
    <phoneticPr fontId="4"/>
  </si>
  <si>
    <t>販売単価</t>
    <rPh sb="0" eb="2">
      <t>ハンバイ</t>
    </rPh>
    <rPh sb="2" eb="4">
      <t>タンカ</t>
    </rPh>
    <phoneticPr fontId="4"/>
  </si>
  <si>
    <t>R9年度</t>
    <rPh sb="2" eb="4">
      <t>ネンド</t>
    </rPh>
    <phoneticPr fontId="4"/>
  </si>
  <si>
    <t>①－②</t>
  </si>
  <si>
    <t>生産量</t>
    <rPh sb="0" eb="2">
      <t>セイサン</t>
    </rPh>
    <rPh sb="2" eb="3">
      <t>リョウ</t>
    </rPh>
    <phoneticPr fontId="4"/>
  </si>
  <si>
    <t>製品名</t>
    <rPh sb="0" eb="3">
      <t>セイヒンメイ</t>
    </rPh>
    <phoneticPr fontId="4"/>
  </si>
  <si>
    <t>kg</t>
  </si>
  <si>
    <t>事務通信費</t>
    <rPh sb="0" eb="2">
      <t>ジム</t>
    </rPh>
    <phoneticPr fontId="4"/>
  </si>
  <si>
    <t>④</t>
  </si>
  <si>
    <t>種苗費、肥料費、農薬費、諸材料費、素畜費、飼料費等</t>
    <rPh sb="2" eb="3">
      <t>ヒ</t>
    </rPh>
    <rPh sb="6" eb="7">
      <t>ヒ</t>
    </rPh>
    <rPh sb="10" eb="11">
      <t>ヒ</t>
    </rPh>
    <rPh sb="12" eb="13">
      <t>ショ</t>
    </rPh>
    <rPh sb="13" eb="16">
      <t>ザイリョウヒ</t>
    </rPh>
    <rPh sb="17" eb="18">
      <t>モト</t>
    </rPh>
    <rPh sb="18" eb="19">
      <t>チク</t>
    </rPh>
    <rPh sb="19" eb="20">
      <t>ヒ</t>
    </rPh>
    <rPh sb="21" eb="24">
      <t>シリョウヒ</t>
    </rPh>
    <rPh sb="24" eb="25">
      <t>ナド</t>
    </rPh>
    <phoneticPr fontId="4"/>
  </si>
  <si>
    <t>円/kg</t>
    <rPh sb="0" eb="1">
      <t>エン</t>
    </rPh>
    <phoneticPr fontId="4"/>
  </si>
  <si>
    <t>区　分</t>
    <rPh sb="0" eb="1">
      <t>ク</t>
    </rPh>
    <rPh sb="2" eb="3">
      <t>ブン</t>
    </rPh>
    <phoneticPr fontId="4"/>
  </si>
  <si>
    <t>円</t>
    <rPh sb="0" eb="1">
      <t>エン</t>
    </rPh>
    <phoneticPr fontId="4"/>
  </si>
  <si>
    <t>販売額</t>
    <rPh sb="0" eb="2">
      <t>ハンバイ</t>
    </rPh>
    <rPh sb="2" eb="3">
      <t>ガク</t>
    </rPh>
    <phoneticPr fontId="4"/>
  </si>
  <si>
    <t>１年度目</t>
    <rPh sb="1" eb="3">
      <t>ネンド</t>
    </rPh>
    <rPh sb="3" eb="4">
      <t>メ</t>
    </rPh>
    <phoneticPr fontId="4"/>
  </si>
  <si>
    <t>③×④</t>
  </si>
  <si>
    <t>販売額　計</t>
    <rPh sb="0" eb="2">
      <t>ハンバイ</t>
    </rPh>
    <rPh sb="2" eb="3">
      <t>ガク</t>
    </rPh>
    <rPh sb="4" eb="5">
      <t>ケイ</t>
    </rPh>
    <phoneticPr fontId="4"/>
  </si>
  <si>
    <t>その他経費</t>
  </si>
  <si>
    <t>固定資産税：193,650円
軽トラ（農業用）＋ﾄﾗｸﾀｰ等軽自動車税：10,200円</t>
    <rPh sb="0" eb="2">
      <t>コテイ</t>
    </rPh>
    <rPh sb="2" eb="5">
      <t>シサンゼイ</t>
    </rPh>
    <rPh sb="13" eb="14">
      <t>エン</t>
    </rPh>
    <rPh sb="15" eb="16">
      <t>ケイ</t>
    </rPh>
    <rPh sb="19" eb="21">
      <t>ノウギョウ</t>
    </rPh>
    <rPh sb="21" eb="22">
      <t>ヨウ</t>
    </rPh>
    <rPh sb="29" eb="30">
      <t>ナド</t>
    </rPh>
    <rPh sb="30" eb="31">
      <t>ケイ</t>
    </rPh>
    <rPh sb="31" eb="35">
      <t>ジドウシャゼイ</t>
    </rPh>
    <rPh sb="42" eb="43">
      <t>エン</t>
    </rPh>
    <phoneticPr fontId="4"/>
  </si>
  <si>
    <t>⑤</t>
  </si>
  <si>
    <t>だいこん</t>
  </si>
  <si>
    <t>製造量</t>
    <rPh sb="0" eb="2">
      <t>セイゾウ</t>
    </rPh>
    <rPh sb="2" eb="3">
      <t>リョウ</t>
    </rPh>
    <phoneticPr fontId="4"/>
  </si>
  <si>
    <t>支払地代、リース代等</t>
    <rPh sb="0" eb="2">
      <t>シハラ</t>
    </rPh>
    <rPh sb="2" eb="4">
      <t>チダイ</t>
    </rPh>
    <rPh sb="9" eb="10">
      <t>ナド</t>
    </rPh>
    <phoneticPr fontId="4"/>
  </si>
  <si>
    <t>①×②</t>
  </si>
  <si>
    <t>動力光熱費</t>
    <rPh sb="0" eb="2">
      <t>ドウリョク</t>
    </rPh>
    <rPh sb="2" eb="5">
      <t>コウネツヒ</t>
    </rPh>
    <phoneticPr fontId="4"/>
  </si>
  <si>
    <t>修繕費</t>
    <rPh sb="0" eb="3">
      <t>シュウゼンヒ</t>
    </rPh>
    <phoneticPr fontId="4"/>
  </si>
  <si>
    <t>経営所得安定対策補助金　1,500,000円
水稲共済受取金：112,625円</t>
    <rPh sb="0" eb="2">
      <t>ケイエイ</t>
    </rPh>
    <rPh sb="2" eb="4">
      <t>ショトク</t>
    </rPh>
    <rPh sb="4" eb="6">
      <t>アンテイ</t>
    </rPh>
    <rPh sb="6" eb="8">
      <t>タイサク</t>
    </rPh>
    <rPh sb="8" eb="11">
      <t>ホジョキン</t>
    </rPh>
    <rPh sb="21" eb="22">
      <t>エン</t>
    </rPh>
    <phoneticPr fontId="4"/>
  </si>
  <si>
    <t>⑥</t>
  </si>
  <si>
    <t>【販売額　総計】</t>
    <rPh sb="1" eb="3">
      <t>ハンバイ</t>
    </rPh>
    <rPh sb="3" eb="4">
      <t>ガク</t>
    </rPh>
    <rPh sb="5" eb="7">
      <t>ソウケイ</t>
    </rPh>
    <phoneticPr fontId="4"/>
  </si>
  <si>
    <t>⑤＋⑥</t>
  </si>
  <si>
    <t>【収入の部】</t>
  </si>
  <si>
    <t>区　　分</t>
  </si>
  <si>
    <t>２年度目（R7年度）</t>
    <rPh sb="1" eb="2">
      <t>ネン</t>
    </rPh>
    <rPh sb="2" eb="4">
      <t>ドメ</t>
    </rPh>
    <phoneticPr fontId="4"/>
  </si>
  <si>
    <t>金額</t>
  </si>
  <si>
    <t>販売計画より</t>
    <rPh sb="0" eb="2">
      <t>ハンバイ</t>
    </rPh>
    <rPh sb="2" eb="4">
      <t>ケイカク</t>
    </rPh>
    <phoneticPr fontId="4"/>
  </si>
  <si>
    <t>算出基礎</t>
  </si>
  <si>
    <t>収入計（①）</t>
  </si>
  <si>
    <t>水稲等の共済掛金、農用建物の火災保険料等</t>
    <rPh sb="0" eb="2">
      <t>スイトウ</t>
    </rPh>
    <rPh sb="2" eb="3">
      <t>ナド</t>
    </rPh>
    <rPh sb="4" eb="6">
      <t>キョウサイ</t>
    </rPh>
    <rPh sb="6" eb="7">
      <t>カ</t>
    </rPh>
    <rPh sb="7" eb="8">
      <t>キン</t>
    </rPh>
    <rPh sb="9" eb="10">
      <t>ノウ</t>
    </rPh>
    <rPh sb="10" eb="13">
      <t>ヨウタテモノ</t>
    </rPh>
    <rPh sb="14" eb="16">
      <t>カサイ</t>
    </rPh>
    <rPh sb="16" eb="19">
      <t>ホケンリョウ</t>
    </rPh>
    <rPh sb="19" eb="20">
      <t>ナド</t>
    </rPh>
    <phoneticPr fontId="4"/>
  </si>
  <si>
    <t>目標年度</t>
    <rPh sb="0" eb="2">
      <t>モクヒョウ</t>
    </rPh>
    <rPh sb="2" eb="4">
      <t>ネンド</t>
    </rPh>
    <phoneticPr fontId="4"/>
  </si>
  <si>
    <t>農薬費</t>
    <rPh sb="0" eb="2">
      <t>ノウヤク</t>
    </rPh>
    <rPh sb="2" eb="3">
      <t>ヒ</t>
    </rPh>
    <phoneticPr fontId="4"/>
  </si>
  <si>
    <t>【支出の部】</t>
  </si>
  <si>
    <t>水稲面積拡大に伴う水稲共済掛金の増加</t>
    <rPh sb="0" eb="2">
      <t>スイトウ</t>
    </rPh>
    <rPh sb="2" eb="4">
      <t>メンセキ</t>
    </rPh>
    <rPh sb="4" eb="6">
      <t>カクダイ</t>
    </rPh>
    <rPh sb="7" eb="8">
      <t>トモナ</t>
    </rPh>
    <rPh sb="9" eb="11">
      <t>スイトウ</t>
    </rPh>
    <rPh sb="11" eb="13">
      <t>キョウサイ</t>
    </rPh>
    <rPh sb="13" eb="14">
      <t>カ</t>
    </rPh>
    <rPh sb="14" eb="15">
      <t>キン</t>
    </rPh>
    <rPh sb="16" eb="18">
      <t>ゾウカ</t>
    </rPh>
    <phoneticPr fontId="4"/>
  </si>
  <si>
    <t>減価償却費</t>
    <rPh sb="0" eb="2">
      <t>ゲンカ</t>
    </rPh>
    <rPh sb="2" eb="5">
      <t>ショウキャクヒ</t>
    </rPh>
    <phoneticPr fontId="4"/>
  </si>
  <si>
    <t>材料費</t>
    <rPh sb="0" eb="2">
      <t>ザイリョウ</t>
    </rPh>
    <rPh sb="2" eb="3">
      <t>ヒ</t>
    </rPh>
    <phoneticPr fontId="4"/>
  </si>
  <si>
    <t>２年度目</t>
    <rPh sb="1" eb="3">
      <t>ネンド</t>
    </rPh>
    <rPh sb="3" eb="4">
      <t>メ</t>
    </rPh>
    <phoneticPr fontId="4"/>
  </si>
  <si>
    <t>租税公課</t>
    <rPh sb="0" eb="2">
      <t>ソゼイ</t>
    </rPh>
    <rPh sb="2" eb="4">
      <t>コウカ</t>
    </rPh>
    <phoneticPr fontId="4"/>
  </si>
  <si>
    <t>円</t>
  </si>
  <si>
    <t>付加価値額の拡大計画</t>
    <rPh sb="0" eb="2">
      <t>フカ</t>
    </rPh>
    <rPh sb="2" eb="5">
      <t>カチガク</t>
    </rPh>
    <rPh sb="6" eb="8">
      <t>カクダイ</t>
    </rPh>
    <rPh sb="8" eb="10">
      <t>ケイカク</t>
    </rPh>
    <phoneticPr fontId="4"/>
  </si>
  <si>
    <t>肥料費</t>
    <rPh sb="0" eb="3">
      <t>ヒリョウヒ</t>
    </rPh>
    <phoneticPr fontId="4"/>
  </si>
  <si>
    <t>諸材料費</t>
    <rPh sb="0" eb="1">
      <t>ショ</t>
    </rPh>
    <rPh sb="1" eb="4">
      <t>ザイリョウヒ</t>
    </rPh>
    <phoneticPr fontId="4"/>
  </si>
  <si>
    <t>農具費</t>
    <rPh sb="0" eb="2">
      <t>ノウグ</t>
    </rPh>
    <rPh sb="2" eb="3">
      <t>ヒ</t>
    </rPh>
    <phoneticPr fontId="4"/>
  </si>
  <si>
    <t>作業委託料</t>
    <rPh sb="0" eb="2">
      <t>サギョウ</t>
    </rPh>
    <rPh sb="2" eb="5">
      <t>イタクリョウ</t>
    </rPh>
    <phoneticPr fontId="4"/>
  </si>
  <si>
    <t>地代・賃借料</t>
    <rPh sb="0" eb="2">
      <t>チダイ</t>
    </rPh>
    <rPh sb="3" eb="6">
      <t>チンシャクリョウ</t>
    </rPh>
    <phoneticPr fontId="4"/>
  </si>
  <si>
    <t>農業共済掛金</t>
    <rPh sb="0" eb="2">
      <t>ノウギョウ</t>
    </rPh>
    <rPh sb="2" eb="4">
      <t>キョウサイ</t>
    </rPh>
    <rPh sb="4" eb="6">
      <t>カケキン</t>
    </rPh>
    <phoneticPr fontId="4"/>
  </si>
  <si>
    <t>％</t>
  </si>
  <si>
    <t>土地改良費</t>
    <rPh sb="0" eb="2">
      <t>トチ</t>
    </rPh>
    <rPh sb="2" eb="5">
      <t>カイリョウヒ</t>
    </rPh>
    <phoneticPr fontId="4"/>
  </si>
  <si>
    <t>荷造運搬手数料</t>
    <rPh sb="0" eb="2">
      <t>ニヅク</t>
    </rPh>
    <rPh sb="2" eb="4">
      <t>ウンパン</t>
    </rPh>
    <rPh sb="4" eb="7">
      <t>テスウリョウ</t>
    </rPh>
    <phoneticPr fontId="4"/>
  </si>
  <si>
    <t>円/kg</t>
  </si>
  <si>
    <t>現状比</t>
    <rPh sb="0" eb="2">
      <t>ゲンジョウ</t>
    </rPh>
    <rPh sb="2" eb="3">
      <t>ヒ</t>
    </rPh>
    <phoneticPr fontId="4"/>
  </si>
  <si>
    <t>地代・賃借料</t>
    <rPh sb="0" eb="2">
      <t>チダイ</t>
    </rPh>
    <phoneticPr fontId="4"/>
  </si>
  <si>
    <t>軽油・ｶﾞｿﾘﾝ代：6,765円/10a×(1,590+80)a＝1,120,102円
水道代・電気代：4,800円/月×12ヶ月＝57,600円</t>
    <rPh sb="0" eb="2">
      <t>ケイユ</t>
    </rPh>
    <rPh sb="8" eb="9">
      <t>ダイ</t>
    </rPh>
    <rPh sb="44" eb="47">
      <t>スイドウダイ</t>
    </rPh>
    <rPh sb="59" eb="60">
      <t>ツキ</t>
    </rPh>
    <rPh sb="64" eb="65">
      <t>ゲツ</t>
    </rPh>
    <rPh sb="72" eb="73">
      <t>エン</t>
    </rPh>
    <phoneticPr fontId="4"/>
  </si>
  <si>
    <t>うち水稲</t>
    <rPh sb="2" eb="4">
      <t>スイトウ</t>
    </rPh>
    <phoneticPr fontId="4"/>
  </si>
  <si>
    <t>作業委託費</t>
    <rPh sb="0" eb="2">
      <t>サギョウ</t>
    </rPh>
    <rPh sb="2" eb="5">
      <t>イタクヒ</t>
    </rPh>
    <phoneticPr fontId="4"/>
  </si>
  <si>
    <t>揚排水施設の維持管理費等</t>
    <rPh sb="0" eb="1">
      <t>ヨウ</t>
    </rPh>
    <rPh sb="1" eb="3">
      <t>ハイスイ</t>
    </rPh>
    <rPh sb="3" eb="5">
      <t>シセツ</t>
    </rPh>
    <rPh sb="6" eb="8">
      <t>イジ</t>
    </rPh>
    <rPh sb="8" eb="11">
      <t>カンリヒ</t>
    </rPh>
    <rPh sb="11" eb="12">
      <t>ナド</t>
    </rPh>
    <phoneticPr fontId="4"/>
  </si>
  <si>
    <t>農用建物や機械等の減価償却費</t>
    <rPh sb="0" eb="4">
      <t>ノウヨウタテモノ</t>
    </rPh>
    <rPh sb="5" eb="7">
      <t>キカイ</t>
    </rPh>
    <rPh sb="7" eb="8">
      <t>ナド</t>
    </rPh>
    <rPh sb="9" eb="11">
      <t>ゲンカ</t>
    </rPh>
    <rPh sb="11" eb="14">
      <t>ショウキャクヒ</t>
    </rPh>
    <phoneticPr fontId="4"/>
  </si>
  <si>
    <t>水稲出荷量増加に伴う水稲出荷経費の増加</t>
    <rPh sb="0" eb="2">
      <t>スイトウ</t>
    </rPh>
    <rPh sb="2" eb="5">
      <t>シュッカリョウ</t>
    </rPh>
    <rPh sb="5" eb="7">
      <t>ゾウカ</t>
    </rPh>
    <rPh sb="8" eb="9">
      <t>トモナ</t>
    </rPh>
    <rPh sb="10" eb="12">
      <t>スイトウ</t>
    </rPh>
    <rPh sb="12" eb="14">
      <t>シュッカ</t>
    </rPh>
    <rPh sb="14" eb="16">
      <t>ケイヒ</t>
    </rPh>
    <rPh sb="17" eb="19">
      <t>ゾウカ</t>
    </rPh>
    <phoneticPr fontId="4"/>
  </si>
  <si>
    <t>農作業の委託費</t>
    <rPh sb="0" eb="3">
      <t>ノウサギョウ</t>
    </rPh>
    <rPh sb="4" eb="7">
      <t>イタクヒ</t>
    </rPh>
    <phoneticPr fontId="4"/>
  </si>
  <si>
    <t>電話代、郵便代、インターネット通信料、事務用品購入費等</t>
    <rPh sb="2" eb="3">
      <t>ダイ</t>
    </rPh>
    <rPh sb="19" eb="22">
      <t>ジムヨウ</t>
    </rPh>
    <rPh sb="22" eb="23">
      <t>ヒン</t>
    </rPh>
    <rPh sb="23" eb="25">
      <t>コウニュウ</t>
    </rPh>
    <rPh sb="25" eb="26">
      <t>ヒ</t>
    </rPh>
    <rPh sb="26" eb="27">
      <t>ナド</t>
    </rPh>
    <phoneticPr fontId="4"/>
  </si>
  <si>
    <t>段ボール代、市場販売手数料、運賃、検査料等</t>
    <rPh sb="0" eb="1">
      <t>ダン</t>
    </rPh>
    <rPh sb="4" eb="5">
      <t>ダイ</t>
    </rPh>
    <rPh sb="6" eb="8">
      <t>イチバ</t>
    </rPh>
    <rPh sb="8" eb="10">
      <t>ハンバイ</t>
    </rPh>
    <rPh sb="10" eb="13">
      <t>テスウリョウ</t>
    </rPh>
    <rPh sb="14" eb="16">
      <t>ウンチン</t>
    </rPh>
    <rPh sb="17" eb="20">
      <t>ケンサリョウ</t>
    </rPh>
    <rPh sb="20" eb="21">
      <t>ナド</t>
    </rPh>
    <phoneticPr fontId="4"/>
  </si>
  <si>
    <t>R7年度</t>
    <rPh sb="2" eb="4">
      <t>ネンド</t>
    </rPh>
    <phoneticPr fontId="4"/>
  </si>
  <si>
    <t>【収支の部】</t>
    <rPh sb="1" eb="3">
      <t>シュウシ</t>
    </rPh>
    <rPh sb="4" eb="5">
      <t>ブ</t>
    </rPh>
    <phoneticPr fontId="4"/>
  </si>
  <si>
    <t>生産規模（a）</t>
    <rPh sb="0" eb="2">
      <t>セイサン</t>
    </rPh>
    <rPh sb="2" eb="4">
      <t>キボ</t>
    </rPh>
    <phoneticPr fontId="4"/>
  </si>
  <si>
    <t>生産量（kg）</t>
    <rPh sb="0" eb="3">
      <t>セイサンリョウ</t>
    </rPh>
    <phoneticPr fontId="4"/>
  </si>
  <si>
    <t>コンバイン導入に伴うコンバイン償却費（1,137千円）の増加</t>
    <rPh sb="5" eb="7">
      <t>ドウニュウ</t>
    </rPh>
    <rPh sb="8" eb="9">
      <t>トモナ</t>
    </rPh>
    <rPh sb="15" eb="18">
      <t>ショウキャクヒ</t>
    </rPh>
    <rPh sb="24" eb="26">
      <t>センエン</t>
    </rPh>
    <rPh sb="28" eb="30">
      <t>ゾウカ</t>
    </rPh>
    <phoneticPr fontId="4"/>
  </si>
  <si>
    <t>販売額（円）</t>
    <rPh sb="0" eb="3">
      <t>ハンバイガク</t>
    </rPh>
    <rPh sb="4" eb="5">
      <t>エン</t>
    </rPh>
    <phoneticPr fontId="4"/>
  </si>
  <si>
    <t>（A）</t>
  </si>
  <si>
    <t>（B）</t>
  </si>
  <si>
    <t>（C）</t>
  </si>
  <si>
    <t>（D）</t>
  </si>
  <si>
    <t>（参考資料１）</t>
    <rPh sb="1" eb="3">
      <t>サンコウ</t>
    </rPh>
    <rPh sb="3" eb="5">
      <t>シリョウ</t>
    </rPh>
    <phoneticPr fontId="4"/>
  </si>
  <si>
    <t>（D)/（A）</t>
  </si>
  <si>
    <t>（％）</t>
  </si>
  <si>
    <t>増減率</t>
    <rPh sb="0" eb="2">
      <t>ゾウゲン</t>
    </rPh>
    <rPh sb="2" eb="3">
      <t>リツ</t>
    </rPh>
    <phoneticPr fontId="4"/>
  </si>
  <si>
    <t>備　考
（増減理由を記入）</t>
    <rPh sb="0" eb="1">
      <t>ソナエ</t>
    </rPh>
    <rPh sb="2" eb="3">
      <t>コウ</t>
    </rPh>
    <rPh sb="5" eb="7">
      <t>ゾウゲン</t>
    </rPh>
    <rPh sb="7" eb="9">
      <t>リユウ</t>
    </rPh>
    <rPh sb="10" eb="12">
      <t>キニュウ</t>
    </rPh>
    <phoneticPr fontId="4"/>
  </si>
  <si>
    <t>面積：人・農地プラン計画年（4年）より
単収：経営所得安定対策地域内基準単収より
単価：JA元年予想価格より</t>
    <rPh sb="0" eb="2">
      <t>メンセキ</t>
    </rPh>
    <rPh sb="3" eb="4">
      <t>ヒト</t>
    </rPh>
    <rPh sb="5" eb="7">
      <t>ノウチ</t>
    </rPh>
    <rPh sb="10" eb="12">
      <t>ケイカク</t>
    </rPh>
    <rPh sb="12" eb="13">
      <t>ネン</t>
    </rPh>
    <rPh sb="15" eb="16">
      <t>ネン</t>
    </rPh>
    <rPh sb="20" eb="22">
      <t>タンシュウ</t>
    </rPh>
    <rPh sb="23" eb="25">
      <t>ケイエイ</t>
    </rPh>
    <rPh sb="25" eb="27">
      <t>ショトク</t>
    </rPh>
    <rPh sb="27" eb="29">
      <t>アンテイ</t>
    </rPh>
    <rPh sb="29" eb="31">
      <t>タイサク</t>
    </rPh>
    <rPh sb="41" eb="43">
      <t>タンカ</t>
    </rPh>
    <rPh sb="46" eb="47">
      <t>モト</t>
    </rPh>
    <rPh sb="47" eb="48">
      <t>ネン</t>
    </rPh>
    <rPh sb="48" eb="50">
      <t>ヨソウ</t>
    </rPh>
    <rPh sb="50" eb="52">
      <t>カカク</t>
    </rPh>
    <phoneticPr fontId="4"/>
  </si>
  <si>
    <t>自脱型コンバイン　刈幅1.65mm　１台</t>
    <rPh sb="9" eb="10">
      <t>カ</t>
    </rPh>
    <rPh sb="10" eb="11">
      <t>ハバ</t>
    </rPh>
    <rPh sb="19" eb="20">
      <t>ダイ</t>
    </rPh>
    <phoneticPr fontId="4"/>
  </si>
  <si>
    <t>対象作物名</t>
    <rPh sb="0" eb="2">
      <t>タイショウ</t>
    </rPh>
    <rPh sb="2" eb="4">
      <t>サクモツ</t>
    </rPh>
    <rPh sb="4" eb="5">
      <t>メイ</t>
    </rPh>
    <phoneticPr fontId="4"/>
  </si>
  <si>
    <t>※対象作物が複数ある場合は欄を追加する</t>
    <rPh sb="1" eb="3">
      <t>タイショウ</t>
    </rPh>
    <rPh sb="3" eb="5">
      <t>サクモツ</t>
    </rPh>
    <rPh sb="6" eb="8">
      <t>フクスウ</t>
    </rPh>
    <rPh sb="10" eb="12">
      <t>バアイ</t>
    </rPh>
    <rPh sb="13" eb="14">
      <t>ラン</t>
    </rPh>
    <rPh sb="15" eb="17">
      <t>ツイカ</t>
    </rPh>
    <phoneticPr fontId="4"/>
  </si>
  <si>
    <t>固定費</t>
    <rPh sb="0" eb="3">
      <t>コテイヒ</t>
    </rPh>
    <phoneticPr fontId="4"/>
  </si>
  <si>
    <t>①収入金額</t>
    <rPh sb="1" eb="3">
      <t>シュウニュウ</t>
    </rPh>
    <rPh sb="3" eb="5">
      <t>キンガク</t>
    </rPh>
    <phoneticPr fontId="4"/>
  </si>
  <si>
    <t>②経費</t>
    <rPh sb="1" eb="3">
      <t>ケイヒ</t>
    </rPh>
    <phoneticPr fontId="4"/>
  </si>
  <si>
    <t>雇人費（③）</t>
    <rPh sb="0" eb="1">
      <t>ヤト</t>
    </rPh>
    <rPh sb="1" eb="2">
      <t>ヒト</t>
    </rPh>
    <rPh sb="2" eb="3">
      <t>ヒ</t>
    </rPh>
    <phoneticPr fontId="4"/>
  </si>
  <si>
    <t>①－②＋③</t>
  </si>
  <si>
    <t>水稲面積拡大に伴う肥料代の増加</t>
    <rPh sb="0" eb="2">
      <t>スイトウ</t>
    </rPh>
    <rPh sb="2" eb="4">
      <t>メンセキ</t>
    </rPh>
    <rPh sb="4" eb="6">
      <t>カクダイ</t>
    </rPh>
    <rPh sb="7" eb="8">
      <t>トモナ</t>
    </rPh>
    <rPh sb="9" eb="11">
      <t>ヒリョウ</t>
    </rPh>
    <rPh sb="11" eb="12">
      <t>ダイ</t>
    </rPh>
    <rPh sb="13" eb="15">
      <t>ゾウカ</t>
    </rPh>
    <phoneticPr fontId="4"/>
  </si>
  <si>
    <t>交際費：28､256円
研修費：20,000円
税理士支払報酬：50,000円</t>
  </si>
  <si>
    <t>水稲面積拡大に伴う農薬代の増加</t>
    <rPh sb="0" eb="2">
      <t>スイトウ</t>
    </rPh>
    <rPh sb="2" eb="4">
      <t>メンセキ</t>
    </rPh>
    <rPh sb="4" eb="6">
      <t>カクダイ</t>
    </rPh>
    <rPh sb="7" eb="8">
      <t>トモナ</t>
    </rPh>
    <rPh sb="9" eb="11">
      <t>ノウヤク</t>
    </rPh>
    <rPh sb="11" eb="12">
      <t>ダイ</t>
    </rPh>
    <rPh sb="13" eb="15">
      <t>ゾウカ</t>
    </rPh>
    <phoneticPr fontId="4"/>
  </si>
  <si>
    <t>水稲面積拡大に伴う諸材料費の増加</t>
    <rPh sb="0" eb="2">
      <t>スイトウ</t>
    </rPh>
    <rPh sb="2" eb="4">
      <t>メンセキ</t>
    </rPh>
    <rPh sb="4" eb="6">
      <t>カクダイ</t>
    </rPh>
    <rPh sb="7" eb="8">
      <t>トモナ</t>
    </rPh>
    <rPh sb="9" eb="10">
      <t>ショ</t>
    </rPh>
    <rPh sb="10" eb="13">
      <t>ザイリョウヒ</t>
    </rPh>
    <rPh sb="14" eb="16">
      <t>ゾウカ</t>
    </rPh>
    <phoneticPr fontId="4"/>
  </si>
  <si>
    <t>変動費</t>
    <rPh sb="0" eb="2">
      <t>ヘンドウ</t>
    </rPh>
    <rPh sb="2" eb="3">
      <t>ヒ</t>
    </rPh>
    <phoneticPr fontId="4"/>
  </si>
  <si>
    <t>水稲面積拡大に伴う借入地代の増加</t>
    <rPh sb="0" eb="2">
      <t>スイトウ</t>
    </rPh>
    <rPh sb="2" eb="4">
      <t>メンセキ</t>
    </rPh>
    <rPh sb="4" eb="6">
      <t>カクダイ</t>
    </rPh>
    <rPh sb="7" eb="8">
      <t>トモナ</t>
    </rPh>
    <rPh sb="9" eb="11">
      <t>カリイレ</t>
    </rPh>
    <rPh sb="11" eb="13">
      <t>チダイ</t>
    </rPh>
    <rPh sb="14" eb="16">
      <t>ゾウカ</t>
    </rPh>
    <phoneticPr fontId="4"/>
  </si>
  <si>
    <t>米出荷経費：90円/60kg×66,000kg＝99,000円
だいこん出荷箱代：15円/10kg箱×4,648箱＝69,720円
だいこん販売手数料：売上3,346,560円×15％＝501,984円</t>
    <rPh sb="0" eb="1">
      <t>コメ</t>
    </rPh>
    <rPh sb="1" eb="3">
      <t>シュッカ</t>
    </rPh>
    <rPh sb="3" eb="5">
      <t>ケイヒ</t>
    </rPh>
    <rPh sb="8" eb="9">
      <t>エン</t>
    </rPh>
    <rPh sb="30" eb="31">
      <t>エン</t>
    </rPh>
    <rPh sb="36" eb="38">
      <t>シュッカ</t>
    </rPh>
    <rPh sb="38" eb="39">
      <t>ハコ</t>
    </rPh>
    <rPh sb="39" eb="40">
      <t>ダイ</t>
    </rPh>
    <rPh sb="43" eb="44">
      <t>エン</t>
    </rPh>
    <rPh sb="49" eb="50">
      <t>ハコ</t>
    </rPh>
    <rPh sb="56" eb="57">
      <t>ハコ</t>
    </rPh>
    <rPh sb="64" eb="65">
      <t>エン</t>
    </rPh>
    <rPh sb="70" eb="72">
      <t>ハンバイ</t>
    </rPh>
    <rPh sb="72" eb="75">
      <t>テスウリョウ</t>
    </rPh>
    <rPh sb="76" eb="78">
      <t>ウリアゲ</t>
    </rPh>
    <rPh sb="87" eb="88">
      <t>エン</t>
    </rPh>
    <rPh sb="100" eb="101">
      <t>エン</t>
    </rPh>
    <phoneticPr fontId="4"/>
  </si>
  <si>
    <t>水稲共済掛金：引受数量1,590a×基準単収430kg×補償割合0.7×基準単価×掛率×組合員負担1/2＝184,736円
建物厚生共済のうち必要経費額：352,358円</t>
    <rPh sb="0" eb="2">
      <t>スイトウ</t>
    </rPh>
    <rPh sb="2" eb="4">
      <t>キョウサイ</t>
    </rPh>
    <rPh sb="4" eb="5">
      <t>カ</t>
    </rPh>
    <rPh sb="5" eb="6">
      <t>キン</t>
    </rPh>
    <rPh sb="7" eb="9">
      <t>ヒキウケ</t>
    </rPh>
    <rPh sb="9" eb="11">
      <t>スウリョウ</t>
    </rPh>
    <rPh sb="18" eb="20">
      <t>キジュン</t>
    </rPh>
    <rPh sb="20" eb="22">
      <t>タンシュウ</t>
    </rPh>
    <rPh sb="28" eb="30">
      <t>ホショウ</t>
    </rPh>
    <rPh sb="30" eb="32">
      <t>ワリアイ</t>
    </rPh>
    <rPh sb="36" eb="38">
      <t>キジュン</t>
    </rPh>
    <rPh sb="38" eb="40">
      <t>タンカ</t>
    </rPh>
    <rPh sb="41" eb="42">
      <t>カ</t>
    </rPh>
    <rPh sb="42" eb="43">
      <t>リツ</t>
    </rPh>
    <rPh sb="44" eb="47">
      <t>クミアイイン</t>
    </rPh>
    <rPh sb="47" eb="49">
      <t>フタン</t>
    </rPh>
    <rPh sb="60" eb="61">
      <t>エン</t>
    </rPh>
    <rPh sb="62" eb="64">
      <t>タテモノ</t>
    </rPh>
    <rPh sb="64" eb="66">
      <t>コウセイ</t>
    </rPh>
    <rPh sb="66" eb="68">
      <t>キョウサイ</t>
    </rPh>
    <rPh sb="71" eb="73">
      <t>ヒツヨウ</t>
    </rPh>
    <rPh sb="73" eb="75">
      <t>ケイヒ</t>
    </rPh>
    <rPh sb="75" eb="76">
      <t>ガク</t>
    </rPh>
    <rPh sb="84" eb="85">
      <t>エン</t>
    </rPh>
    <phoneticPr fontId="4"/>
  </si>
  <si>
    <t>2,200円/月×12ヶ月＝24,000円</t>
    <rPh sb="7" eb="8">
      <t>ツキ</t>
    </rPh>
    <rPh sb="12" eb="13">
      <t>ゲツ</t>
    </rPh>
    <rPh sb="20" eb="21">
      <t>エン</t>
    </rPh>
    <phoneticPr fontId="4"/>
  </si>
  <si>
    <t>④農業所得</t>
    <rPh sb="1" eb="3">
      <t>ノウギョウ</t>
    </rPh>
    <rPh sb="3" eb="5">
      <t>ショトク</t>
    </rPh>
    <phoneticPr fontId="4"/>
  </si>
  <si>
    <t>作業用衣料費</t>
    <rPh sb="0" eb="3">
      <t>サギョウヨウ</t>
    </rPh>
    <rPh sb="3" eb="5">
      <t>イリョウ</t>
    </rPh>
    <rPh sb="5" eb="6">
      <t>ヒ</t>
    </rPh>
    <phoneticPr fontId="4"/>
  </si>
  <si>
    <t>⑤付加価値額</t>
    <rPh sb="1" eb="3">
      <t>フカ</t>
    </rPh>
    <rPh sb="3" eb="6">
      <t>カチガク</t>
    </rPh>
    <phoneticPr fontId="4"/>
  </si>
  <si>
    <t>ガソリン代、軽油代、水道代、電気代等</t>
    <rPh sb="4" eb="5">
      <t>ダイ</t>
    </rPh>
    <rPh sb="6" eb="8">
      <t>ケイユ</t>
    </rPh>
    <rPh sb="8" eb="9">
      <t>ダイ</t>
    </rPh>
    <rPh sb="10" eb="13">
      <t>スイドウダイ</t>
    </rPh>
    <rPh sb="14" eb="17">
      <t>デンキダイ</t>
    </rPh>
    <phoneticPr fontId="4"/>
  </si>
  <si>
    <t>水稲面積拡大に伴うコンバイン作業員の増加（5日×900円×8h）</t>
    <rPh sb="0" eb="2">
      <t>スイトウ</t>
    </rPh>
    <rPh sb="2" eb="4">
      <t>メンセキ</t>
    </rPh>
    <rPh sb="4" eb="6">
      <t>カクダイ</t>
    </rPh>
    <rPh sb="7" eb="8">
      <t>トモナ</t>
    </rPh>
    <rPh sb="14" eb="17">
      <t>サギョウイン</t>
    </rPh>
    <rPh sb="18" eb="20">
      <t>ゾウカ</t>
    </rPh>
    <rPh sb="22" eb="23">
      <t>ニチ</t>
    </rPh>
    <rPh sb="27" eb="28">
      <t>エン</t>
    </rPh>
    <phoneticPr fontId="4"/>
  </si>
  <si>
    <t>水稲種子代：4,801円/10a×1,590a＝763,359円
水稲肥料代：9,532円/10a×1,590a＝1,515,588円
水稲農薬代：7,925円/10a×1,590a＝1,260,075円
水稲諸材料費：2,160円/10a×1,590a＝343,440円
だいこん種子代：22,500円/10a×80a＝180,000円
だいこん肥料代：36,400円/10a×80a＝291,200円
だいこん農薬代：33,100円/10a×80a＝264,800円
だいこんマルチ等代：96,900円/10a×80a＝775,200円</t>
    <rPh sb="0" eb="2">
      <t>スイトウ</t>
    </rPh>
    <rPh sb="2" eb="4">
      <t>シュシ</t>
    </rPh>
    <rPh sb="4" eb="5">
      <t>ダイ</t>
    </rPh>
    <rPh sb="11" eb="12">
      <t>エン</t>
    </rPh>
    <rPh sb="31" eb="32">
      <t>エン</t>
    </rPh>
    <rPh sb="141" eb="143">
      <t>シュシ</t>
    </rPh>
    <rPh sb="143" eb="144">
      <t>ダイ</t>
    </rPh>
    <rPh sb="151" eb="152">
      <t>エン</t>
    </rPh>
    <rPh sb="168" eb="169">
      <t>エン</t>
    </rPh>
    <rPh sb="174" eb="176">
      <t>ヒリョウ</t>
    </rPh>
    <rPh sb="207" eb="209">
      <t>ノウヤク</t>
    </rPh>
    <rPh sb="243" eb="244">
      <t>ナド</t>
    </rPh>
    <phoneticPr fontId="4"/>
  </si>
  <si>
    <t>土地賃借料：13,500円/10a×1,490a＝2,011,500円
育苗施設リース料：50,000円</t>
    <rPh sb="34" eb="35">
      <t>エン</t>
    </rPh>
    <rPh sb="36" eb="38">
      <t>イクビョウ</t>
    </rPh>
    <rPh sb="38" eb="40">
      <t>シセツ</t>
    </rPh>
    <rPh sb="43" eb="44">
      <t>リョウ</t>
    </rPh>
    <rPh sb="51" eb="52">
      <t>エン</t>
    </rPh>
    <phoneticPr fontId="4"/>
  </si>
  <si>
    <t>①×②=③</t>
  </si>
  <si>
    <t>コンバイン導入に伴う水稲収穫受託作業の廃止</t>
    <rPh sb="8" eb="9">
      <t>トモナ</t>
    </rPh>
    <rPh sb="10" eb="12">
      <t>スイトウ</t>
    </rPh>
    <rPh sb="12" eb="14">
      <t>シュウカク</t>
    </rPh>
    <rPh sb="14" eb="16">
      <t>ジュタク</t>
    </rPh>
    <rPh sb="16" eb="18">
      <t>サギョウ</t>
    </rPh>
    <rPh sb="19" eb="21">
      <t>ハイシ</t>
    </rPh>
    <phoneticPr fontId="4"/>
  </si>
  <si>
    <t>水稲刈取委託代：15,000円/10a×180a＝270,000円</t>
    <rPh sb="0" eb="2">
      <t>スイトウ</t>
    </rPh>
    <rPh sb="2" eb="3">
      <t>カ</t>
    </rPh>
    <rPh sb="3" eb="4">
      <t>ト</t>
    </rPh>
    <rPh sb="4" eb="6">
      <t>イタク</t>
    </rPh>
    <rPh sb="6" eb="7">
      <t>ダイ</t>
    </rPh>
    <phoneticPr fontId="4"/>
  </si>
  <si>
    <t>水稲面積拡大に伴う燃料代の増加</t>
    <rPh sb="0" eb="2">
      <t>スイトウ</t>
    </rPh>
    <rPh sb="2" eb="4">
      <t>メンセキ</t>
    </rPh>
    <rPh sb="4" eb="6">
      <t>カクダイ</t>
    </rPh>
    <rPh sb="7" eb="8">
      <t>トモナ</t>
    </rPh>
    <rPh sb="9" eb="12">
      <t>ネンリョウダイ</t>
    </rPh>
    <rPh sb="13" eb="15">
      <t>ゾウカ</t>
    </rPh>
    <phoneticPr fontId="4"/>
  </si>
  <si>
    <t>年間収支計画</t>
    <rPh sb="0" eb="2">
      <t>ネンカン</t>
    </rPh>
    <phoneticPr fontId="4"/>
  </si>
  <si>
    <t>役員報酬</t>
    <rPh sb="0" eb="2">
      <t>ヤクイン</t>
    </rPh>
    <rPh sb="2" eb="4">
      <t>ホウシュウ</t>
    </rPh>
    <phoneticPr fontId="4"/>
  </si>
  <si>
    <t>農業共済掛金
（支払保険料）</t>
    <rPh sb="0" eb="2">
      <t>ノウギョウ</t>
    </rPh>
    <rPh sb="2" eb="4">
      <t>キョウサイ</t>
    </rPh>
    <rPh sb="4" eb="5">
      <t>カ</t>
    </rPh>
    <rPh sb="5" eb="6">
      <t>キン</t>
    </rPh>
    <rPh sb="8" eb="10">
      <t>シハラ</t>
    </rPh>
    <rPh sb="10" eb="13">
      <t>ホケンリョウ</t>
    </rPh>
    <phoneticPr fontId="4"/>
  </si>
  <si>
    <t>役員に対する給料</t>
    <rPh sb="0" eb="2">
      <t>ヤクイン</t>
    </rPh>
    <rPh sb="3" eb="4">
      <t>タイ</t>
    </rPh>
    <rPh sb="6" eb="8">
      <t>キュウリョウ</t>
    </rPh>
    <phoneticPr fontId="4"/>
  </si>
  <si>
    <t>従業員の給料、賞与、福利厚生費等</t>
    <rPh sb="0" eb="3">
      <t>ジュウギョウイン</t>
    </rPh>
    <rPh sb="4" eb="6">
      <t>キュウリョウ</t>
    </rPh>
    <rPh sb="7" eb="9">
      <t>ショウヨ</t>
    </rPh>
    <rPh sb="10" eb="12">
      <t>フクリ</t>
    </rPh>
    <rPh sb="12" eb="15">
      <t>コウセイヒ</t>
    </rPh>
    <rPh sb="15" eb="16">
      <t>ナド</t>
    </rPh>
    <phoneticPr fontId="4"/>
  </si>
  <si>
    <t>雑収入</t>
    <rPh sb="0" eb="3">
      <t>ザツシュウニュウ</t>
    </rPh>
    <phoneticPr fontId="4"/>
  </si>
  <si>
    <t>販売計画より
一部飼料用米</t>
    <rPh sb="0" eb="2">
      <t>ハンバイ</t>
    </rPh>
    <rPh sb="2" eb="4">
      <t>ケイカク</t>
    </rPh>
    <rPh sb="7" eb="9">
      <t>イチブ</t>
    </rPh>
    <rPh sb="9" eb="12">
      <t>シリョウヨウ</t>
    </rPh>
    <rPh sb="12" eb="13">
      <t>コメ</t>
    </rPh>
    <phoneticPr fontId="4"/>
  </si>
  <si>
    <t>販売金額
（売上高）</t>
    <rPh sb="0" eb="2">
      <t>ハンバイ</t>
    </rPh>
    <rPh sb="2" eb="4">
      <t>キンガク</t>
    </rPh>
    <rPh sb="6" eb="9">
      <t>ウリアゲダカ</t>
    </rPh>
    <phoneticPr fontId="4"/>
  </si>
  <si>
    <t>【農産物加工品製造・販売の部】</t>
    <rPh sb="1" eb="4">
      <t>ノウサンブツ</t>
    </rPh>
    <rPh sb="4" eb="7">
      <t>カコウヒン</t>
    </rPh>
    <rPh sb="7" eb="9">
      <t>セイゾウ</t>
    </rPh>
    <rPh sb="10" eb="12">
      <t>ハンバイ</t>
    </rPh>
    <rPh sb="13" eb="14">
      <t>ブ</t>
    </rPh>
    <phoneticPr fontId="4"/>
  </si>
  <si>
    <t>農産物販売収入
農産物加工品販売収入</t>
  </si>
  <si>
    <t>家事・消費金額</t>
    <rPh sb="0" eb="2">
      <t>カジ</t>
    </rPh>
    <rPh sb="3" eb="5">
      <t>ショウヒ</t>
    </rPh>
    <rPh sb="5" eb="7">
      <t>キンガク</t>
    </rPh>
    <phoneticPr fontId="4"/>
  </si>
  <si>
    <t>米家事消費：90kg×12ヶ月×5,000円/30kg＝180,000円
だいこん家事消費：30kg×72円/kg＝2,160円</t>
    <rPh sb="0" eb="1">
      <t>コメ</t>
    </rPh>
    <rPh sb="1" eb="3">
      <t>カジ</t>
    </rPh>
    <rPh sb="3" eb="5">
      <t>ショウヒ</t>
    </rPh>
    <rPh sb="14" eb="15">
      <t>ゲツ</t>
    </rPh>
    <rPh sb="21" eb="22">
      <t>エン</t>
    </rPh>
    <rPh sb="35" eb="36">
      <t>エン</t>
    </rPh>
    <rPh sb="41" eb="43">
      <t>カジ</t>
    </rPh>
    <rPh sb="43" eb="45">
      <t>ショウヒ</t>
    </rPh>
    <rPh sb="53" eb="54">
      <t>エン</t>
    </rPh>
    <rPh sb="63" eb="64">
      <t>エン</t>
    </rPh>
    <phoneticPr fontId="4"/>
  </si>
  <si>
    <t>作業用衣料代</t>
    <rPh sb="0" eb="3">
      <t>サギョウヨウ</t>
    </rPh>
    <rPh sb="3" eb="5">
      <t>イリョウ</t>
    </rPh>
    <rPh sb="5" eb="6">
      <t>ダイ</t>
    </rPh>
    <phoneticPr fontId="4"/>
  </si>
  <si>
    <t>農具費、修繕費</t>
    <rPh sb="0" eb="2">
      <t>ノウグ</t>
    </rPh>
    <rPh sb="2" eb="3">
      <t>ヒ</t>
    </rPh>
    <rPh sb="4" eb="7">
      <t>シュウゼンヒ</t>
    </rPh>
    <phoneticPr fontId="4"/>
  </si>
  <si>
    <t>鎌・草刈機等代：694,693円
トラクター等修理代：1,022,688円</t>
    <rPh sb="5" eb="6">
      <t>ナド</t>
    </rPh>
    <rPh sb="22" eb="23">
      <t>ナド</t>
    </rPh>
    <rPh sb="23" eb="26">
      <t>シュウリダイ</t>
    </rPh>
    <rPh sb="36" eb="37">
      <t>エン</t>
    </rPh>
    <phoneticPr fontId="4"/>
  </si>
  <si>
    <t>農具修繕費</t>
    <rPh sb="0" eb="2">
      <t>ノウグ</t>
    </rPh>
    <rPh sb="2" eb="4">
      <t>シュウゼン</t>
    </rPh>
    <phoneticPr fontId="4"/>
  </si>
  <si>
    <t>作業服、長靴、軍手等代：41,960円</t>
    <rPh sb="0" eb="3">
      <t>サギョウフク</t>
    </rPh>
    <rPh sb="4" eb="6">
      <t>ナガグツ</t>
    </rPh>
    <rPh sb="7" eb="9">
      <t>グンテ</t>
    </rPh>
    <rPh sb="9" eb="10">
      <t>ナド</t>
    </rPh>
    <rPh sb="10" eb="11">
      <t>ダイ</t>
    </rPh>
    <rPh sb="18" eb="19">
      <t>エン</t>
    </rPh>
    <phoneticPr fontId="4"/>
  </si>
  <si>
    <t>その他経費</t>
    <rPh sb="3" eb="5">
      <t>ケイヒ</t>
    </rPh>
    <phoneticPr fontId="4"/>
  </si>
  <si>
    <t>支出（経費）計（②）</t>
    <rPh sb="3" eb="5">
      <t>ケイヒ</t>
    </rPh>
    <phoneticPr fontId="4"/>
  </si>
  <si>
    <t>収支（所得）計（①－②）</t>
    <rPh sb="0" eb="2">
      <t>シュウシ</t>
    </rPh>
    <rPh sb="3" eb="5">
      <t>ショトク</t>
    </rPh>
    <rPh sb="6" eb="7">
      <t>ケイ</t>
    </rPh>
    <phoneticPr fontId="4"/>
  </si>
  <si>
    <t>自家生産農産物の家事・事業消費評価額</t>
    <rPh sb="0" eb="2">
      <t>ジカ</t>
    </rPh>
    <rPh sb="2" eb="4">
      <t>セイサン</t>
    </rPh>
    <rPh sb="4" eb="7">
      <t>ノウサンブツ</t>
    </rPh>
    <rPh sb="8" eb="10">
      <t>カジ</t>
    </rPh>
    <rPh sb="11" eb="13">
      <t>ジギョウ</t>
    </rPh>
    <rPh sb="13" eb="15">
      <t>ショウヒ</t>
    </rPh>
    <rPh sb="15" eb="18">
      <t>ヒョウカガク</t>
    </rPh>
    <phoneticPr fontId="4"/>
  </si>
  <si>
    <t>期末棚卸高－期首棚卸高</t>
    <rPh sb="0" eb="2">
      <t>キマツ</t>
    </rPh>
    <rPh sb="2" eb="4">
      <t>タナオロ</t>
    </rPh>
    <rPh sb="4" eb="5">
      <t>ダカ</t>
    </rPh>
    <rPh sb="6" eb="8">
      <t>キシュ</t>
    </rPh>
    <rPh sb="8" eb="9">
      <t>タナ</t>
    </rPh>
    <rPh sb="9" eb="10">
      <t>オロシ</t>
    </rPh>
    <rPh sb="10" eb="11">
      <t>タカ</t>
    </rPh>
    <phoneticPr fontId="4"/>
  </si>
  <si>
    <t>広告宣伝費、交際費、研修費、雑費等</t>
  </si>
  <si>
    <t>固定費</t>
  </si>
  <si>
    <t>土地改良区賦課金：4,450円/10a×1,490a＝663,050円</t>
    <rPh sb="0" eb="2">
      <t>トチ</t>
    </rPh>
    <rPh sb="2" eb="4">
      <t>カイリョウ</t>
    </rPh>
    <rPh sb="4" eb="5">
      <t>ク</t>
    </rPh>
    <rPh sb="5" eb="8">
      <t>フカキン</t>
    </rPh>
    <rPh sb="14" eb="15">
      <t>エン</t>
    </rPh>
    <rPh sb="34" eb="35">
      <t>エン</t>
    </rPh>
    <phoneticPr fontId="4"/>
  </si>
  <si>
    <t>水稲面積拡大に伴う土地改良区賦課金の増加</t>
    <rPh sb="0" eb="2">
      <t>スイトウ</t>
    </rPh>
    <rPh sb="2" eb="4">
      <t>メンセキ</t>
    </rPh>
    <rPh sb="4" eb="6">
      <t>カクダイ</t>
    </rPh>
    <rPh sb="7" eb="8">
      <t>トモナ</t>
    </rPh>
    <rPh sb="9" eb="11">
      <t>トチ</t>
    </rPh>
    <rPh sb="11" eb="13">
      <t>カイリョウ</t>
    </rPh>
    <rPh sb="13" eb="14">
      <t>ク</t>
    </rPh>
    <rPh sb="14" eb="17">
      <t>フカキン</t>
    </rPh>
    <rPh sb="18" eb="20">
      <t>ゾウカ</t>
    </rPh>
    <phoneticPr fontId="4"/>
  </si>
  <si>
    <t>農産物以外の棚卸残高</t>
    <rPh sb="0" eb="3">
      <t>ノウサンブツ</t>
    </rPh>
    <rPh sb="3" eb="5">
      <t>イガイ</t>
    </rPh>
    <rPh sb="6" eb="8">
      <t>タナオロ</t>
    </rPh>
    <rPh sb="8" eb="9">
      <t>ザン</t>
    </rPh>
    <rPh sb="9" eb="10">
      <t>ダカ</t>
    </rPh>
    <phoneticPr fontId="4"/>
  </si>
  <si>
    <t>農産物の棚卸残高</t>
    <rPh sb="0" eb="3">
      <t>ノウサンブツ</t>
    </rPh>
    <rPh sb="4" eb="6">
      <t>タナオロ</t>
    </rPh>
    <rPh sb="6" eb="7">
      <t>ザン</t>
    </rPh>
    <rPh sb="7" eb="8">
      <t>ダカ</t>
    </rPh>
    <phoneticPr fontId="4"/>
  </si>
  <si>
    <t>水稲面積拡大に伴う種子代の増加</t>
    <rPh sb="0" eb="2">
      <t>スイトウ</t>
    </rPh>
    <rPh sb="2" eb="4">
      <t>メンセキ</t>
    </rPh>
    <rPh sb="4" eb="6">
      <t>カクダイ</t>
    </rPh>
    <rPh sb="7" eb="8">
      <t>トモナ</t>
    </rPh>
    <rPh sb="9" eb="11">
      <t>シュシ</t>
    </rPh>
    <rPh sb="11" eb="12">
      <t>ダイ</t>
    </rPh>
    <rPh sb="13" eb="15">
      <t>ゾウカ</t>
    </rPh>
    <phoneticPr fontId="4"/>
  </si>
  <si>
    <t>備考</t>
    <rPh sb="0" eb="1">
      <t>ソナエ</t>
    </rPh>
    <rPh sb="1" eb="2">
      <t>コウ</t>
    </rPh>
    <phoneticPr fontId="4"/>
  </si>
  <si>
    <t>現状維持</t>
    <rPh sb="0" eb="2">
      <t>ゲンジョウ</t>
    </rPh>
    <rPh sb="2" eb="4">
      <t>イジ</t>
    </rPh>
    <phoneticPr fontId="4"/>
  </si>
  <si>
    <t>水稲賃金：900円×1,248時間＝1,123,200円
だいこん賃金：900円×480時間＝432,000円
福利厚生費：35,000円</t>
    <rPh sb="0" eb="2">
      <t>スイトウ</t>
    </rPh>
    <rPh sb="2" eb="4">
      <t>チンギン</t>
    </rPh>
    <rPh sb="15" eb="17">
      <t>ジカン</t>
    </rPh>
    <phoneticPr fontId="4"/>
  </si>
  <si>
    <t>現状（R5年度）</t>
    <rPh sb="0" eb="2">
      <t>ゲンジョウ</t>
    </rPh>
    <phoneticPr fontId="4"/>
  </si>
  <si>
    <t>※１　現状値は青色申告決算書から記入</t>
    <rPh sb="3" eb="5">
      <t>ゲンジョウ</t>
    </rPh>
    <rPh sb="5" eb="6">
      <t>チ</t>
    </rPh>
    <rPh sb="7" eb="9">
      <t>アオイロ</t>
    </rPh>
    <rPh sb="9" eb="11">
      <t>シンコク</t>
    </rPh>
    <rPh sb="11" eb="14">
      <t>ケッサンショ</t>
    </rPh>
    <rPh sb="16" eb="18">
      <t>キニュウ</t>
    </rPh>
    <phoneticPr fontId="4"/>
  </si>
  <si>
    <t>※２　現状値における対象作物の経費（種苗費、肥料費、農薬費、諸材料費、雇人費）は帳簿や伝票から算出</t>
    <rPh sb="3" eb="5">
      <t>ゲンジョウ</t>
    </rPh>
    <rPh sb="5" eb="6">
      <t>チ</t>
    </rPh>
    <rPh sb="10" eb="12">
      <t>タイショウ</t>
    </rPh>
    <rPh sb="12" eb="14">
      <t>サクモツ</t>
    </rPh>
    <rPh sb="15" eb="17">
      <t>ケイヒ</t>
    </rPh>
    <rPh sb="18" eb="20">
      <t>シュビョウ</t>
    </rPh>
    <rPh sb="20" eb="21">
      <t>ヒ</t>
    </rPh>
    <rPh sb="22" eb="25">
      <t>ヒリョウヒ</t>
    </rPh>
    <rPh sb="26" eb="28">
      <t>ノウヤク</t>
    </rPh>
    <rPh sb="28" eb="29">
      <t>ヒ</t>
    </rPh>
    <rPh sb="30" eb="31">
      <t>ショ</t>
    </rPh>
    <rPh sb="31" eb="34">
      <t>ザイリョウヒ</t>
    </rPh>
    <rPh sb="35" eb="36">
      <t>ヤトイ</t>
    </rPh>
    <rPh sb="36" eb="37">
      <t>ジン</t>
    </rPh>
    <rPh sb="37" eb="38">
      <t>ヒ</t>
    </rPh>
    <rPh sb="40" eb="42">
      <t>チョウボ</t>
    </rPh>
    <rPh sb="43" eb="45">
      <t>デンピョウ</t>
    </rPh>
    <rPh sb="47" eb="49">
      <t>サンシュツ</t>
    </rPh>
    <phoneticPr fontId="4"/>
  </si>
  <si>
    <t>作物名</t>
    <rPh sb="0" eb="2">
      <t>サクモツ</t>
    </rPh>
    <rPh sb="2" eb="3">
      <t>メイ</t>
    </rPh>
    <phoneticPr fontId="4"/>
  </si>
  <si>
    <t>※３　就業者数は専従者給与対象者を含む。常時従事者でない者は、従事日数で人数換算（240日・人/名）</t>
    <rPh sb="3" eb="6">
      <t>シュウギョウシャ</t>
    </rPh>
    <rPh sb="6" eb="7">
      <t>スウ</t>
    </rPh>
    <rPh sb="28" eb="29">
      <t>モノ</t>
    </rPh>
    <rPh sb="44" eb="45">
      <t>ニチ</t>
    </rPh>
    <rPh sb="46" eb="47">
      <t>ヒト</t>
    </rPh>
    <rPh sb="48" eb="49">
      <t>メイ</t>
    </rPh>
    <phoneticPr fontId="4"/>
  </si>
  <si>
    <t>※個人経営体の場合は集計対象外</t>
    <rPh sb="1" eb="3">
      <t>コジン</t>
    </rPh>
    <rPh sb="3" eb="6">
      <t>ケイエイタイ</t>
    </rPh>
    <rPh sb="7" eb="9">
      <t>バアイ</t>
    </rPh>
    <rPh sb="10" eb="12">
      <t>シュウケイ</t>
    </rPh>
    <rPh sb="12" eb="15">
      <t>タイショウガイ</t>
    </rPh>
    <phoneticPr fontId="4"/>
  </si>
  <si>
    <t>助成金・交付金収入、共済受取金、作業受託収入等</t>
    <rPh sb="0" eb="3">
      <t>ジョセイキン</t>
    </rPh>
    <rPh sb="4" eb="7">
      <t>コウフキン</t>
    </rPh>
    <rPh sb="7" eb="9">
      <t>シュウニュウ</t>
    </rPh>
    <rPh sb="10" eb="12">
      <t>キョウサイ</t>
    </rPh>
    <rPh sb="12" eb="15">
      <t>ウケトリキン</t>
    </rPh>
    <rPh sb="16" eb="18">
      <t>サギョウ</t>
    </rPh>
    <rPh sb="18" eb="20">
      <t>ジュタク</t>
    </rPh>
    <rPh sb="20" eb="22">
      <t>シュウニュウ</t>
    </rPh>
    <rPh sb="22" eb="23">
      <t>ナド</t>
    </rPh>
    <phoneticPr fontId="4"/>
  </si>
  <si>
    <t>設定の考え方</t>
    <rPh sb="0" eb="2">
      <t>セッテイ</t>
    </rPh>
    <rPh sb="3" eb="4">
      <t>カンガ</t>
    </rPh>
    <rPh sb="5" eb="6">
      <t>カタ</t>
    </rPh>
    <phoneticPr fontId="4"/>
  </si>
  <si>
    <t>整備内容</t>
    <rPh sb="0" eb="2">
      <t>セイビ</t>
    </rPh>
    <rPh sb="2" eb="4">
      <t>ナイヨウ</t>
    </rPh>
    <phoneticPr fontId="4"/>
  </si>
  <si>
    <t>（R5年）</t>
    <rPh sb="3" eb="4">
      <t>ネン</t>
    </rPh>
    <phoneticPr fontId="4"/>
  </si>
  <si>
    <t>機械導入による作業効率向上により水稲の規模拡大を行い、目標達成を図る。</t>
    <rPh sb="0" eb="2">
      <t>キカイ</t>
    </rPh>
    <rPh sb="2" eb="4">
      <t>ドウニュウ</t>
    </rPh>
    <rPh sb="7" eb="9">
      <t>サギョウ</t>
    </rPh>
    <rPh sb="9" eb="11">
      <t>コウリツ</t>
    </rPh>
    <rPh sb="11" eb="13">
      <t>コウジョウ</t>
    </rPh>
    <rPh sb="16" eb="18">
      <t>スイトウ</t>
    </rPh>
    <rPh sb="19" eb="21">
      <t>キボ</t>
    </rPh>
    <rPh sb="21" eb="23">
      <t>カクダイ</t>
    </rPh>
    <rPh sb="24" eb="25">
      <t>オコナ</t>
    </rPh>
    <rPh sb="27" eb="29">
      <t>モクヒョウ</t>
    </rPh>
    <rPh sb="29" eb="31">
      <t>タッセイ</t>
    </rPh>
    <rPh sb="32" eb="33">
      <t>ハカ</t>
    </rPh>
    <phoneticPr fontId="4"/>
  </si>
  <si>
    <t>その他売上（だいこん）</t>
    <rPh sb="2" eb="3">
      <t>タ</t>
    </rPh>
    <rPh sb="3" eb="5">
      <t>ウリアゲ</t>
    </rPh>
    <phoneticPr fontId="4"/>
  </si>
  <si>
    <t>助成金・交付金収入・その他収入（円）</t>
    <rPh sb="0" eb="3">
      <t>ジョセイキン</t>
    </rPh>
    <rPh sb="4" eb="7">
      <t>コウフキン</t>
    </rPh>
    <rPh sb="7" eb="9">
      <t>シュウニュウ</t>
    </rPh>
    <rPh sb="12" eb="13">
      <t>タ</t>
    </rPh>
    <rPh sb="13" eb="15">
      <t>シュウニュウ</t>
    </rPh>
    <rPh sb="16" eb="17">
      <t>エン</t>
    </rPh>
    <phoneticPr fontId="4"/>
  </si>
  <si>
    <t>棚卸残高（円）</t>
    <rPh sb="0" eb="2">
      <t>タナオロシ</t>
    </rPh>
    <rPh sb="2" eb="4">
      <t>ザンダカ</t>
    </rPh>
    <rPh sb="5" eb="6">
      <t>エン</t>
    </rPh>
    <phoneticPr fontId="4"/>
  </si>
  <si>
    <t>水稲以外作物の販売額</t>
  </si>
  <si>
    <t>棚卸額は現状維持</t>
    <rPh sb="0" eb="2">
      <t>タナオロ</t>
    </rPh>
    <rPh sb="2" eb="3">
      <t>ガク</t>
    </rPh>
    <rPh sb="4" eb="6">
      <t>ゲンジョウ</t>
    </rPh>
    <rPh sb="6" eb="8">
      <t>イジ</t>
    </rPh>
    <phoneticPr fontId="4"/>
  </si>
  <si>
    <t>被服費</t>
    <rPh sb="0" eb="2">
      <t>ヒフク</t>
    </rPh>
    <rPh sb="2" eb="3">
      <t>ヒ</t>
    </rPh>
    <phoneticPr fontId="4"/>
  </si>
  <si>
    <t>コンバイン導入、面積購入に伴う増加</t>
    <rPh sb="8" eb="10">
      <t>メンセキ</t>
    </rPh>
    <rPh sb="10" eb="12">
      <t>コウニュウ</t>
    </rPh>
    <rPh sb="13" eb="14">
      <t>トモナ</t>
    </rPh>
    <phoneticPr fontId="4"/>
  </si>
  <si>
    <t>令和2年青色申告決算書（減価償却費の計算）より</t>
    <rPh sb="0" eb="2">
      <t>レイワ</t>
    </rPh>
    <rPh sb="3" eb="4">
      <t>トシ</t>
    </rPh>
    <rPh sb="4" eb="6">
      <t>アオイロ</t>
    </rPh>
    <rPh sb="6" eb="8">
      <t>シンコク</t>
    </rPh>
    <rPh sb="8" eb="11">
      <t>ケッサンショ</t>
    </rPh>
    <rPh sb="12" eb="14">
      <t>ゲンカ</t>
    </rPh>
    <rPh sb="14" eb="17">
      <t>ショウキャクヒ</t>
    </rPh>
    <rPh sb="18" eb="20">
      <t>ケイサン</t>
    </rPh>
    <phoneticPr fontId="4"/>
  </si>
  <si>
    <t>（R6年）</t>
    <rPh sb="3" eb="4">
      <t>ネン</t>
    </rPh>
    <phoneticPr fontId="4"/>
  </si>
  <si>
    <t>R8年度</t>
    <rPh sb="2" eb="4">
      <t>ネンド</t>
    </rPh>
    <phoneticPr fontId="4"/>
  </si>
  <si>
    <t>１年度目（R6年度）</t>
    <rPh sb="1" eb="2">
      <t>ネン</t>
    </rPh>
    <rPh sb="2" eb="4">
      <t>ドメ</t>
    </rPh>
    <phoneticPr fontId="4"/>
  </si>
  <si>
    <t>目標年度（R8年度）</t>
    <rPh sb="0" eb="2">
      <t>モクヒョウ</t>
    </rPh>
    <rPh sb="2" eb="4">
      <t>ネンド</t>
    </rPh>
    <phoneticPr fontId="4"/>
  </si>
  <si>
    <t>（R7年）</t>
    <rPh sb="3" eb="4">
      <t>ネン</t>
    </rPh>
    <phoneticPr fontId="4"/>
  </si>
  <si>
    <t>（R8年）</t>
    <rPh sb="3" eb="4">
      <t>ネン</t>
    </rPh>
    <phoneticPr fontId="4"/>
  </si>
</sst>
</file>

<file path=xl/styles.xml><?xml version="1.0" encoding="utf-8"?>
<styleSheet xmlns="http://schemas.openxmlformats.org/spreadsheetml/2006/main" xmlns:r="http://schemas.openxmlformats.org/officeDocument/2006/relationships" xmlns:mc="http://schemas.openxmlformats.org/markup-compatibility/2006">
  <numFmts count="2">
    <numFmt numFmtId="176" formatCode="#,##0.0;[Red]\-#,##0.0"/>
    <numFmt numFmtId="177" formatCode="0.0%"/>
  </numFmts>
  <fonts count="14">
    <font>
      <sz val="11"/>
      <color auto="1"/>
      <name val="ＭＳ Ｐゴシック"/>
      <family val="3"/>
    </font>
    <font>
      <sz val="11"/>
      <color auto="1"/>
      <name val="ＭＳ Ｐゴシック"/>
      <family val="3"/>
    </font>
    <font>
      <sz val="11"/>
      <color theme="1"/>
      <name val="ＭＳ Ｐゴシック"/>
      <family val="3"/>
      <scheme val="minor"/>
    </font>
    <font>
      <sz val="11"/>
      <color auto="1"/>
      <name val="ＭＳ 明朝"/>
      <family val="1"/>
    </font>
    <font>
      <sz val="6"/>
      <color auto="1"/>
      <name val="ＭＳ Ｐゴシック"/>
      <family val="3"/>
    </font>
    <font>
      <sz val="11"/>
      <color auto="1"/>
      <name val="ＭＳ ゴシック"/>
      <family val="3"/>
    </font>
    <font>
      <sz val="16"/>
      <color auto="1"/>
      <name val="ＭＳ ゴシック"/>
      <family val="3"/>
    </font>
    <font>
      <sz val="10"/>
      <color auto="1"/>
      <name val="ＭＳ ゴシック"/>
      <family val="3"/>
    </font>
    <font>
      <sz val="9"/>
      <color auto="1"/>
      <name val="ＭＳ ゴシック"/>
      <family val="3"/>
    </font>
    <font>
      <sz val="8"/>
      <color auto="1"/>
      <name val="ＭＳ ゴシック"/>
      <family val="3"/>
    </font>
    <font>
      <sz val="14"/>
      <color auto="1"/>
      <name val="ＭＳ ゴシック"/>
      <family val="3"/>
    </font>
    <font>
      <sz val="14"/>
      <color theme="1"/>
      <name val="ＭＳ Ｐゴシック"/>
      <family val="3"/>
      <scheme val="minor"/>
    </font>
    <font>
      <sz val="12"/>
      <color theme="1"/>
      <name val="ＭＳ Ｐゴシック"/>
      <family val="3"/>
      <scheme val="minor"/>
    </font>
    <font>
      <sz val="11"/>
      <color rgb="FFFF0000"/>
      <name val="ＭＳ Ｐゴシック"/>
      <family val="3"/>
      <scheme val="minor"/>
    </font>
  </fonts>
  <fills count="4">
    <fill>
      <patternFill patternType="none"/>
    </fill>
    <fill>
      <patternFill patternType="gray125"/>
    </fill>
    <fill>
      <patternFill patternType="solid">
        <fgColor rgb="FFFFFFCC"/>
        <bgColor indexed="64"/>
      </patternFill>
    </fill>
    <fill>
      <patternFill patternType="solid">
        <fgColor rgb="FFFFE1FF"/>
        <bgColor indexed="64"/>
      </patternFill>
    </fill>
  </fills>
  <borders count="7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dashed">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top style="thin">
        <color indexed="64"/>
      </top>
      <bottom style="dashed">
        <color indexed="64"/>
      </bottom>
      <diagonal/>
    </border>
    <border>
      <left/>
      <right/>
      <top/>
      <bottom style="thin">
        <color indexed="64"/>
      </bottom>
      <diagonal/>
    </border>
    <border>
      <left/>
      <right/>
      <top style="thin">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style="thin">
        <color indexed="64"/>
      </top>
      <bottom style="dashed">
        <color indexed="64"/>
      </bottom>
      <diagonal/>
    </border>
    <border>
      <left style="hair">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style="thin">
        <color indexed="64"/>
      </top>
      <bottom style="dashed">
        <color indexed="64"/>
      </bottom>
      <diagonal/>
    </border>
    <border>
      <left/>
      <right style="thin">
        <color indexed="64"/>
      </right>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right/>
      <top style="thin">
        <color indexed="64"/>
      </top>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top style="medium">
        <color indexed="64"/>
      </top>
      <bottom/>
      <diagonal/>
    </border>
    <border>
      <left/>
      <right/>
      <top/>
      <bottom style="medium">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medium">
        <color indexed="64"/>
      </bottom>
      <diagonal/>
    </border>
    <border>
      <left/>
      <right/>
      <top style="medium">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diagonal/>
    </border>
    <border>
      <left/>
      <right style="thin">
        <color indexed="64"/>
      </right>
      <top/>
      <bottom/>
      <diagonal/>
    </border>
    <border>
      <left style="dashed">
        <color indexed="64"/>
      </left>
      <right/>
      <top style="dashed">
        <color indexed="64"/>
      </top>
      <bottom style="thin">
        <color indexed="64"/>
      </bottom>
      <diagonal/>
    </border>
    <border>
      <left style="thin">
        <color indexed="64"/>
      </left>
      <right/>
      <top style="medium">
        <color indexed="64"/>
      </top>
      <bottom style="medium">
        <color indexed="64"/>
      </bottom>
      <diagonal/>
    </border>
    <border>
      <left style="thin">
        <color indexed="64"/>
      </left>
      <right/>
      <top style="dashed">
        <color indexed="64"/>
      </top>
      <bottom style="dashed">
        <color indexed="64"/>
      </bottom>
      <diagonal/>
    </border>
    <border>
      <left/>
      <right/>
      <top style="thin">
        <color indexed="64"/>
      </top>
      <bottom style="medium">
        <color indexed="64"/>
      </bottom>
      <diagonal/>
    </border>
    <border>
      <left/>
      <right/>
      <top style="dashed">
        <color indexed="64"/>
      </top>
      <bottom style="thin">
        <color indexed="64"/>
      </bottom>
      <diagonal/>
    </border>
    <border>
      <left/>
      <right style="thin">
        <color indexed="64"/>
      </right>
      <top style="medium">
        <color indexed="64"/>
      </top>
      <bottom/>
      <diagonal/>
    </border>
    <border>
      <left/>
      <right style="thin">
        <color indexed="64"/>
      </right>
      <top style="dashed">
        <color indexed="64"/>
      </top>
      <bottom style="dashed">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dashed">
        <color indexed="64"/>
      </left>
      <right style="thin">
        <color indexed="64"/>
      </right>
      <top style="thin">
        <color indexed="64"/>
      </top>
      <bottom/>
      <diagonal/>
    </border>
    <border>
      <left style="dashed">
        <color indexed="64"/>
      </left>
      <right style="thin">
        <color indexed="64"/>
      </right>
      <top style="dashed">
        <color indexed="64"/>
      </top>
      <bottom style="thin">
        <color indexed="64"/>
      </bottom>
      <diagonal/>
    </border>
    <border>
      <left style="dashed">
        <color indexed="64"/>
      </left>
      <right style="thin">
        <color indexed="64"/>
      </right>
      <top style="thin">
        <color indexed="64"/>
      </top>
      <bottom style="thin">
        <color indexed="64"/>
      </bottom>
      <diagonal/>
    </border>
    <border>
      <left style="dashed">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dashed">
        <color indexed="64"/>
      </top>
      <bottom style="thin">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0" fontId="2" fillId="0" borderId="0"/>
    <xf numFmtId="0" fontId="1" fillId="0" borderId="0">
      <alignment vertical="center"/>
    </xf>
    <xf numFmtId="0" fontId="3" fillId="0" borderId="0">
      <alignment vertical="center"/>
    </xf>
    <xf numFmtId="38" fontId="1" fillId="0" borderId="0" applyFont="0" applyFill="0" applyBorder="0" applyAlignment="0" applyProtection="0">
      <alignment vertical="center"/>
    </xf>
  </cellStyleXfs>
  <cellXfs count="205">
    <xf numFmtId="0" fontId="0" fillId="0" borderId="0" xfId="0">
      <alignment vertical="center"/>
    </xf>
    <xf numFmtId="0" fontId="5" fillId="0" borderId="0" xfId="0" applyFont="1">
      <alignment vertical="center"/>
    </xf>
    <xf numFmtId="0" fontId="6" fillId="0" borderId="0" xfId="0" applyFont="1" applyAlignment="1">
      <alignment horizontal="center"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left" vertical="center"/>
    </xf>
    <xf numFmtId="0" fontId="5" fillId="0" borderId="6" xfId="0" applyFont="1" applyBorder="1" applyAlignment="1">
      <alignment horizontal="left" vertical="center"/>
    </xf>
    <xf numFmtId="0" fontId="5" fillId="0" borderId="3" xfId="0" applyFont="1" applyBorder="1" applyAlignment="1">
      <alignment horizontal="center" vertical="center" wrapText="1"/>
    </xf>
    <xf numFmtId="0" fontId="5" fillId="0" borderId="0" xfId="0" applyFont="1" applyBorder="1" applyAlignment="1">
      <alignment horizontal="center" vertical="center"/>
    </xf>
    <xf numFmtId="0" fontId="5" fillId="0" borderId="7" xfId="0" applyFont="1" applyBorder="1" applyAlignment="1">
      <alignment horizontal="center" vertical="center"/>
    </xf>
    <xf numFmtId="0" fontId="7" fillId="0" borderId="0" xfId="0" applyFont="1">
      <alignment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5" fillId="0" borderId="11" xfId="0" applyFont="1" applyBorder="1" applyAlignment="1">
      <alignment horizontal="left" vertical="center"/>
    </xf>
    <xf numFmtId="0" fontId="5" fillId="0" borderId="12" xfId="0" applyFont="1" applyBorder="1" applyAlignment="1">
      <alignment horizontal="left" vertical="center"/>
    </xf>
    <xf numFmtId="0" fontId="5" fillId="0" borderId="13" xfId="0" applyFont="1" applyBorder="1" applyAlignment="1">
      <alignment horizontal="center" vertical="center"/>
    </xf>
    <xf numFmtId="0" fontId="8" fillId="0" borderId="14" xfId="0" applyFont="1" applyBorder="1" applyAlignment="1">
      <alignment horizontal="center" vertical="center" shrinkToFit="1"/>
    </xf>
    <xf numFmtId="0" fontId="8" fillId="0" borderId="15" xfId="0" applyFont="1" applyBorder="1" applyAlignment="1">
      <alignment horizontal="center" vertical="center" shrinkToFit="1"/>
    </xf>
    <xf numFmtId="0" fontId="8" fillId="0" borderId="16" xfId="0" applyFont="1" applyBorder="1" applyAlignment="1">
      <alignment horizontal="center" vertical="center" shrinkToFit="1"/>
    </xf>
    <xf numFmtId="0" fontId="8" fillId="0" borderId="17" xfId="0" applyFont="1" applyBorder="1" applyAlignment="1">
      <alignment horizontal="center" vertical="center" shrinkToFit="1"/>
    </xf>
    <xf numFmtId="0" fontId="8" fillId="0" borderId="18" xfId="0" applyFont="1" applyBorder="1" applyAlignment="1">
      <alignment horizontal="center" vertical="center" shrinkToFit="1"/>
    </xf>
    <xf numFmtId="0" fontId="5" fillId="0" borderId="19" xfId="0" applyFont="1" applyBorder="1" applyAlignment="1">
      <alignment horizontal="center" vertical="center" shrinkToFit="1"/>
    </xf>
    <xf numFmtId="0" fontId="5" fillId="0" borderId="1" xfId="0" applyFont="1" applyBorder="1" applyAlignment="1">
      <alignment horizontal="center" vertical="center" shrinkToFit="1"/>
    </xf>
    <xf numFmtId="38" fontId="5" fillId="0" borderId="8" xfId="5" applyFont="1" applyBorder="1" applyAlignment="1">
      <alignment vertical="center" shrinkToFit="1"/>
    </xf>
    <xf numFmtId="38" fontId="5" fillId="0" borderId="9" xfId="5" applyFont="1" applyBorder="1" applyAlignment="1">
      <alignment vertical="center" shrinkToFit="1"/>
    </xf>
    <xf numFmtId="38" fontId="5" fillId="0" borderId="10" xfId="5" applyFont="1" applyBorder="1" applyAlignment="1">
      <alignment vertical="center" shrinkToFit="1"/>
    </xf>
    <xf numFmtId="38" fontId="5" fillId="0" borderId="5" xfId="5" applyFont="1" applyBorder="1" applyAlignment="1">
      <alignment vertical="center" shrinkToFit="1"/>
    </xf>
    <xf numFmtId="0" fontId="5" fillId="0" borderId="12" xfId="0" applyFont="1" applyBorder="1" applyAlignment="1">
      <alignment horizontal="right" vertical="center"/>
    </xf>
    <xf numFmtId="0" fontId="5" fillId="0" borderId="0" xfId="0" applyFont="1" applyAlignment="1">
      <alignment vertical="center" shrinkToFit="1"/>
    </xf>
    <xf numFmtId="0" fontId="5" fillId="0" borderId="0" xfId="0" applyFont="1" applyBorder="1">
      <alignment vertical="center"/>
    </xf>
    <xf numFmtId="0" fontId="5" fillId="0" borderId="20" xfId="0" applyFont="1" applyBorder="1" applyAlignment="1">
      <alignment horizontal="left" vertical="center" shrinkToFit="1"/>
    </xf>
    <xf numFmtId="0" fontId="5" fillId="0" borderId="21" xfId="0" applyFont="1" applyBorder="1" applyAlignment="1">
      <alignment horizontal="left" vertical="center" shrinkToFit="1"/>
    </xf>
    <xf numFmtId="0" fontId="5" fillId="0" borderId="22" xfId="0" applyFont="1" applyBorder="1" applyAlignment="1">
      <alignment horizontal="left" vertical="center" shrinkToFit="1"/>
    </xf>
    <xf numFmtId="0" fontId="5" fillId="0" borderId="23" xfId="0" applyFont="1" applyBorder="1" applyAlignment="1">
      <alignment horizontal="left" vertical="center" shrinkToFit="1"/>
    </xf>
    <xf numFmtId="0" fontId="5" fillId="0" borderId="12" xfId="0" applyFont="1" applyBorder="1">
      <alignment vertical="center"/>
    </xf>
    <xf numFmtId="0" fontId="5" fillId="0" borderId="0" xfId="0" applyFont="1" applyAlignment="1">
      <alignment horizontal="left" vertical="center" shrinkToFit="1"/>
    </xf>
    <xf numFmtId="38" fontId="5" fillId="0" borderId="21" xfId="5" applyFont="1" applyBorder="1" applyAlignment="1">
      <alignment horizontal="left" vertical="center" shrinkToFit="1"/>
    </xf>
    <xf numFmtId="38" fontId="5" fillId="0" borderId="22" xfId="5" applyFont="1" applyBorder="1" applyAlignment="1">
      <alignment horizontal="left" vertical="center" shrinkToFit="1"/>
    </xf>
    <xf numFmtId="38" fontId="5" fillId="0" borderId="23" xfId="5" applyFont="1" applyBorder="1" applyAlignment="1">
      <alignment horizontal="left" vertical="center" shrinkToFit="1"/>
    </xf>
    <xf numFmtId="0" fontId="5" fillId="0" borderId="0" xfId="0" applyFont="1" applyBorder="1" applyAlignment="1">
      <alignment horizontal="left" vertical="center"/>
    </xf>
    <xf numFmtId="176" fontId="5" fillId="0" borderId="6" xfId="5" applyNumberFormat="1" applyFont="1" applyBorder="1">
      <alignment vertical="center"/>
    </xf>
    <xf numFmtId="0" fontId="5" fillId="0" borderId="0" xfId="0" applyFont="1" applyAlignment="1">
      <alignment horizontal="left" vertical="center"/>
    </xf>
    <xf numFmtId="0" fontId="5" fillId="0" borderId="24" xfId="0" applyFont="1" applyBorder="1">
      <alignment vertical="center"/>
    </xf>
    <xf numFmtId="0" fontId="5" fillId="0" borderId="23" xfId="0" applyFont="1" applyBorder="1" applyAlignment="1">
      <alignment horizontal="left" vertical="center"/>
    </xf>
    <xf numFmtId="38" fontId="5" fillId="0" borderId="11" xfId="0" applyNumberFormat="1" applyFont="1" applyBorder="1" applyAlignment="1">
      <alignment vertical="center" shrinkToFit="1"/>
    </xf>
    <xf numFmtId="0" fontId="9" fillId="0" borderId="2" xfId="0" applyFont="1" applyBorder="1" applyAlignment="1">
      <alignment horizontal="left" vertical="top" wrapText="1"/>
    </xf>
    <xf numFmtId="0" fontId="9" fillId="0" borderId="3" xfId="0" applyFont="1" applyBorder="1" applyAlignment="1">
      <alignment horizontal="left" vertical="top" wrapText="1"/>
    </xf>
    <xf numFmtId="0" fontId="9" fillId="0" borderId="4" xfId="0" applyFont="1" applyBorder="1" applyAlignment="1">
      <alignment horizontal="left" vertical="top" wrapText="1"/>
    </xf>
    <xf numFmtId="0" fontId="6" fillId="0" borderId="0" xfId="0" applyFont="1" applyAlignment="1">
      <alignment horizontal="left" vertical="center"/>
    </xf>
    <xf numFmtId="0" fontId="10" fillId="0" borderId="0" xfId="0" applyFont="1">
      <alignment vertical="center"/>
    </xf>
    <xf numFmtId="0" fontId="5" fillId="0" borderId="25" xfId="0" applyFont="1" applyBorder="1" applyAlignment="1">
      <alignment vertical="center" wrapText="1"/>
    </xf>
    <xf numFmtId="0" fontId="5" fillId="0" borderId="26" xfId="0" applyFont="1" applyBorder="1" applyAlignment="1">
      <alignment vertical="center" wrapText="1"/>
    </xf>
    <xf numFmtId="0" fontId="5" fillId="0" borderId="27" xfId="0" applyFont="1" applyBorder="1">
      <alignment vertical="center"/>
    </xf>
    <xf numFmtId="0" fontId="5" fillId="0" borderId="4" xfId="0" applyFont="1" applyBorder="1">
      <alignment vertical="center"/>
    </xf>
    <xf numFmtId="0" fontId="5" fillId="0" borderId="7" xfId="0" applyFont="1" applyBorder="1" applyAlignment="1">
      <alignment horizontal="left" vertical="center"/>
    </xf>
    <xf numFmtId="0" fontId="5" fillId="0" borderId="27" xfId="0" applyFont="1" applyBorder="1" applyAlignment="1">
      <alignment vertical="center" wrapText="1"/>
    </xf>
    <xf numFmtId="0" fontId="5" fillId="0" borderId="4" xfId="0" applyFont="1" applyBorder="1" applyAlignment="1">
      <alignment vertical="center" wrapText="1"/>
    </xf>
    <xf numFmtId="0" fontId="5" fillId="0" borderId="28" xfId="0" applyFont="1" applyBorder="1">
      <alignment vertical="center"/>
    </xf>
    <xf numFmtId="0" fontId="10" fillId="0" borderId="12" xfId="0" applyFont="1" applyBorder="1">
      <alignment vertical="center"/>
    </xf>
    <xf numFmtId="0" fontId="5" fillId="0" borderId="2" xfId="0" applyFont="1" applyBorder="1" applyAlignment="1">
      <alignment vertical="center" wrapText="1"/>
    </xf>
    <xf numFmtId="0" fontId="5" fillId="0" borderId="19" xfId="0" applyFont="1" applyBorder="1" applyAlignment="1">
      <alignment horizontal="left" vertical="center"/>
    </xf>
    <xf numFmtId="38" fontId="5" fillId="0" borderId="2" xfId="5" applyFont="1" applyBorder="1" applyAlignment="1">
      <alignment horizontal="right" vertical="center"/>
    </xf>
    <xf numFmtId="38" fontId="5" fillId="0" borderId="27" xfId="5" applyFont="1" applyBorder="1" applyAlignment="1">
      <alignment horizontal="right" vertical="center"/>
    </xf>
    <xf numFmtId="38" fontId="5" fillId="0" borderId="4" xfId="5" applyFont="1" applyBorder="1" applyAlignment="1">
      <alignment horizontal="right" vertical="center"/>
    </xf>
    <xf numFmtId="38" fontId="5" fillId="0" borderId="1" xfId="5" applyFont="1" applyBorder="1" applyAlignment="1">
      <alignment horizontal="right" vertical="center"/>
    </xf>
    <xf numFmtId="38" fontId="5" fillId="0" borderId="25" xfId="5" applyFont="1" applyBorder="1" applyAlignment="1">
      <alignment horizontal="right" vertical="center"/>
    </xf>
    <xf numFmtId="38" fontId="5" fillId="0" borderId="26" xfId="5" applyFont="1" applyBorder="1" applyAlignment="1">
      <alignment horizontal="right" vertical="center"/>
    </xf>
    <xf numFmtId="38" fontId="5" fillId="0" borderId="1" xfId="5" applyFont="1" applyBorder="1" applyAlignment="1">
      <alignment horizontal="right" vertical="center" shrinkToFit="1"/>
    </xf>
    <xf numFmtId="38" fontId="5" fillId="0" borderId="28" xfId="5" applyFont="1" applyBorder="1" applyAlignment="1">
      <alignment horizontal="right" vertical="center"/>
    </xf>
    <xf numFmtId="38" fontId="5" fillId="0" borderId="12" xfId="5" applyFont="1" applyBorder="1" applyAlignment="1">
      <alignment horizontal="right" vertical="center"/>
    </xf>
    <xf numFmtId="0" fontId="5" fillId="0" borderId="19" xfId="0" applyFont="1" applyBorder="1" applyAlignment="1">
      <alignment horizontal="center" vertical="center"/>
    </xf>
    <xf numFmtId="0" fontId="5" fillId="0" borderId="2" xfId="0" applyFont="1" applyBorder="1" applyAlignment="1">
      <alignment horizontal="left" vertical="center" wrapText="1"/>
    </xf>
    <xf numFmtId="0" fontId="5" fillId="0" borderId="27" xfId="0" applyFont="1" applyBorder="1" applyAlignment="1">
      <alignment horizontal="left" vertical="center" wrapText="1"/>
    </xf>
    <xf numFmtId="0" fontId="5" fillId="0" borderId="4" xfId="0" applyFont="1" applyBorder="1" applyAlignment="1">
      <alignment horizontal="left" vertical="center" wrapText="1"/>
    </xf>
    <xf numFmtId="0" fontId="5" fillId="0" borderId="1" xfId="0" applyFont="1" applyBorder="1" applyAlignment="1">
      <alignment horizontal="left" vertical="center" wrapText="1"/>
    </xf>
    <xf numFmtId="0" fontId="5" fillId="0" borderId="25" xfId="0" applyFont="1" applyBorder="1" applyAlignment="1">
      <alignment horizontal="left" vertical="center" wrapText="1"/>
    </xf>
    <xf numFmtId="0" fontId="5" fillId="0" borderId="26" xfId="0" applyFont="1" applyBorder="1" applyAlignment="1">
      <alignment horizontal="left" vertical="center" wrapText="1"/>
    </xf>
    <xf numFmtId="0" fontId="5" fillId="0" borderId="1" xfId="0" applyFont="1" applyBorder="1" applyAlignment="1">
      <alignment horizontal="left" vertical="center"/>
    </xf>
    <xf numFmtId="38" fontId="5" fillId="0" borderId="2" xfId="5" applyFont="1" applyBorder="1" applyAlignment="1">
      <alignment horizontal="right" vertical="center" shrinkToFit="1"/>
    </xf>
    <xf numFmtId="38" fontId="5" fillId="0" borderId="27" xfId="5" applyFont="1" applyBorder="1" applyAlignment="1">
      <alignment horizontal="right" vertical="center" shrinkToFit="1"/>
    </xf>
    <xf numFmtId="38" fontId="5" fillId="0" borderId="4" xfId="5" applyFont="1" applyBorder="1" applyAlignment="1">
      <alignment horizontal="right" vertical="center" shrinkToFit="1"/>
    </xf>
    <xf numFmtId="0" fontId="5" fillId="0" borderId="28" xfId="0" applyFont="1" applyBorder="1" applyAlignment="1">
      <alignment horizontal="right" vertical="center"/>
    </xf>
    <xf numFmtId="0" fontId="11" fillId="0" borderId="0" xfId="0" applyFont="1">
      <alignment vertical="center"/>
    </xf>
    <xf numFmtId="0" fontId="2" fillId="0" borderId="29" xfId="0" applyFont="1" applyBorder="1" applyAlignment="1">
      <alignment horizontal="left" vertical="center" shrinkToFit="1"/>
    </xf>
    <xf numFmtId="0" fontId="2" fillId="0" borderId="30" xfId="0" applyFont="1" applyBorder="1" applyAlignment="1">
      <alignment horizontal="left" vertical="center" shrinkToFit="1"/>
    </xf>
    <xf numFmtId="0" fontId="0" fillId="0" borderId="31" xfId="0" applyBorder="1" applyAlignment="1">
      <alignment horizontal="center" vertical="center"/>
    </xf>
    <xf numFmtId="0" fontId="0" fillId="0" borderId="32" xfId="0" applyBorder="1" applyAlignment="1">
      <alignment horizontal="center" vertical="center"/>
    </xf>
    <xf numFmtId="0" fontId="0" fillId="0" borderId="33" xfId="0" applyBorder="1" applyAlignment="1">
      <alignment horizontal="center" vertical="center"/>
    </xf>
    <xf numFmtId="0" fontId="2" fillId="0" borderId="32" xfId="0" applyFont="1" applyBorder="1" applyAlignment="1">
      <alignment horizontal="left" vertical="center"/>
    </xf>
    <xf numFmtId="0" fontId="0" fillId="0" borderId="34" xfId="0" applyBorder="1" applyAlignment="1">
      <alignment vertical="center" wrapText="1"/>
    </xf>
    <xf numFmtId="0" fontId="0" fillId="0" borderId="32" xfId="0" applyBorder="1" applyAlignment="1">
      <alignment vertical="center" wrapText="1"/>
    </xf>
    <xf numFmtId="0" fontId="0" fillId="0" borderId="33" xfId="0" applyBorder="1" applyAlignment="1">
      <alignment vertical="center" wrapText="1"/>
    </xf>
    <xf numFmtId="0" fontId="2" fillId="0" borderId="31" xfId="0" applyFont="1" applyBorder="1" applyAlignment="1">
      <alignment horizontal="left" vertical="center"/>
    </xf>
    <xf numFmtId="0" fontId="2" fillId="0" borderId="35" xfId="0" applyFont="1" applyBorder="1" applyAlignment="1">
      <alignment horizontal="left" vertical="center"/>
    </xf>
    <xf numFmtId="0" fontId="0" fillId="0" borderId="0" xfId="0" applyAlignment="1">
      <alignment vertical="center"/>
    </xf>
    <xf numFmtId="0" fontId="0" fillId="0" borderId="0" xfId="0" applyFont="1">
      <alignment vertical="center"/>
    </xf>
    <xf numFmtId="0" fontId="12" fillId="0" borderId="0" xfId="0" applyFont="1">
      <alignment vertical="center"/>
    </xf>
    <xf numFmtId="0" fontId="2" fillId="0" borderId="36" xfId="0" applyFont="1" applyBorder="1" applyAlignment="1">
      <alignment horizontal="left" vertical="center" shrinkToFit="1"/>
    </xf>
    <xf numFmtId="0" fontId="2" fillId="0" borderId="37" xfId="0" applyFont="1" applyBorder="1" applyAlignment="1">
      <alignment horizontal="left" vertical="center" shrinkToFit="1"/>
    </xf>
    <xf numFmtId="0" fontId="0" fillId="0" borderId="38" xfId="0" applyBorder="1" applyAlignment="1">
      <alignment horizontal="center" vertical="center"/>
    </xf>
    <xf numFmtId="0" fontId="0" fillId="0" borderId="0" xfId="0" applyBorder="1" applyAlignment="1">
      <alignment horizontal="center" vertical="center"/>
    </xf>
    <xf numFmtId="0" fontId="0" fillId="0" borderId="39" xfId="0" applyBorder="1" applyAlignment="1">
      <alignment horizontal="center" vertical="center"/>
    </xf>
    <xf numFmtId="0" fontId="2" fillId="0" borderId="12" xfId="0" applyFont="1" applyBorder="1" applyAlignment="1">
      <alignment horizontal="left" vertical="center" wrapText="1"/>
    </xf>
    <xf numFmtId="0" fontId="0" fillId="0" borderId="40" xfId="0" applyFill="1" applyBorder="1" applyAlignment="1">
      <alignment horizontal="left" vertical="center"/>
    </xf>
    <xf numFmtId="0" fontId="0" fillId="0" borderId="41" xfId="0" applyFill="1" applyBorder="1" applyAlignment="1">
      <alignment horizontal="left" vertical="center"/>
    </xf>
    <xf numFmtId="0" fontId="0" fillId="0" borderId="6" xfId="0" applyFill="1" applyBorder="1" applyAlignment="1">
      <alignment horizontal="left" vertical="center"/>
    </xf>
    <xf numFmtId="0" fontId="0" fillId="0" borderId="7" xfId="0" applyFill="1" applyBorder="1" applyAlignment="1">
      <alignment horizontal="left" vertical="center"/>
    </xf>
    <xf numFmtId="0" fontId="0" fillId="0" borderId="7" xfId="0" applyFill="1" applyBorder="1" applyAlignment="1">
      <alignment horizontal="left" vertical="center" wrapText="1"/>
    </xf>
    <xf numFmtId="0" fontId="0" fillId="0" borderId="42" xfId="0" applyFill="1" applyBorder="1" applyAlignment="1">
      <alignment vertical="center"/>
    </xf>
    <xf numFmtId="0" fontId="2" fillId="0" borderId="43" xfId="0" applyFont="1" applyBorder="1" applyAlignment="1">
      <alignment horizontal="left" vertical="center" wrapText="1"/>
    </xf>
    <xf numFmtId="0" fontId="0" fillId="0" borderId="40" xfId="0" applyFont="1" applyFill="1" applyBorder="1" applyAlignment="1">
      <alignment vertical="center"/>
    </xf>
    <xf numFmtId="0" fontId="0" fillId="0" borderId="6" xfId="0" applyFont="1" applyFill="1" applyBorder="1" applyAlignment="1">
      <alignment vertical="center"/>
    </xf>
    <xf numFmtId="0" fontId="0" fillId="0" borderId="7" xfId="0" applyFont="1" applyFill="1" applyBorder="1" applyAlignment="1">
      <alignment vertical="center"/>
    </xf>
    <xf numFmtId="0" fontId="0" fillId="0" borderId="44" xfId="0" applyFont="1" applyFill="1" applyBorder="1" applyAlignment="1">
      <alignment vertical="center"/>
    </xf>
    <xf numFmtId="0" fontId="2" fillId="0" borderId="45" xfId="0" applyFont="1" applyBorder="1" applyAlignment="1">
      <alignment horizontal="left" vertical="center" wrapText="1"/>
    </xf>
    <xf numFmtId="0" fontId="2" fillId="0" borderId="46" xfId="0" applyFont="1" applyBorder="1" applyAlignment="1">
      <alignment horizontal="left" vertical="center" shrinkToFit="1"/>
    </xf>
    <xf numFmtId="0" fontId="2" fillId="0" borderId="42" xfId="0" applyFont="1" applyBorder="1" applyAlignment="1">
      <alignment horizontal="left" vertical="center" shrinkToFit="1"/>
    </xf>
    <xf numFmtId="0" fontId="0" fillId="0" borderId="47" xfId="0" applyFill="1" applyBorder="1" applyAlignment="1">
      <alignment horizontal="left" vertical="center"/>
    </xf>
    <xf numFmtId="0" fontId="0" fillId="0" borderId="48" xfId="0" applyFill="1" applyBorder="1" applyAlignment="1">
      <alignment horizontal="left" vertical="center"/>
    </xf>
    <xf numFmtId="0" fontId="0" fillId="0" borderId="24" xfId="0" applyFill="1" applyBorder="1" applyAlignment="1">
      <alignment horizontal="left" vertical="center"/>
    </xf>
    <xf numFmtId="0" fontId="0" fillId="0" borderId="13" xfId="0" applyFill="1" applyBorder="1" applyAlignment="1">
      <alignment horizontal="left" vertical="center"/>
    </xf>
    <xf numFmtId="0" fontId="0" fillId="0" borderId="13" xfId="0" applyFill="1" applyBorder="1" applyAlignment="1">
      <alignment horizontal="left" vertical="center" wrapText="1"/>
    </xf>
    <xf numFmtId="0" fontId="0" fillId="0" borderId="49" xfId="0" applyFont="1" applyFill="1" applyBorder="1" applyAlignment="1">
      <alignment vertical="center"/>
    </xf>
    <xf numFmtId="0" fontId="2" fillId="0" borderId="50" xfId="0" applyFont="1" applyBorder="1" applyAlignment="1">
      <alignment horizontal="left" vertical="center" shrinkToFit="1"/>
    </xf>
    <xf numFmtId="0" fontId="5" fillId="0" borderId="40" xfId="0" applyFont="1" applyFill="1" applyBorder="1" applyAlignment="1">
      <alignment horizontal="left" vertical="center"/>
    </xf>
    <xf numFmtId="0" fontId="5" fillId="0" borderId="51" xfId="0" applyFont="1" applyFill="1" applyBorder="1" applyAlignment="1">
      <alignment horizontal="left" vertical="center"/>
    </xf>
    <xf numFmtId="0" fontId="0" fillId="0" borderId="52" xfId="0" applyFill="1" applyBorder="1" applyAlignment="1">
      <alignment vertical="center"/>
    </xf>
    <xf numFmtId="0" fontId="0" fillId="0" borderId="28" xfId="0" applyFont="1" applyFill="1" applyBorder="1" applyAlignment="1">
      <alignment vertical="center" wrapText="1"/>
    </xf>
    <xf numFmtId="0" fontId="0" fillId="0" borderId="53" xfId="0" applyFont="1" applyFill="1" applyBorder="1" applyAlignment="1">
      <alignment vertical="center" wrapText="1"/>
    </xf>
    <xf numFmtId="0" fontId="0" fillId="0" borderId="13" xfId="0" applyFont="1" applyFill="1" applyBorder="1" applyAlignment="1">
      <alignment vertical="center" wrapText="1"/>
    </xf>
    <xf numFmtId="0" fontId="0" fillId="0" borderId="52" xfId="0" applyFont="1" applyFill="1" applyBorder="1" applyAlignment="1">
      <alignment vertical="center" wrapText="1"/>
    </xf>
    <xf numFmtId="0" fontId="12" fillId="0" borderId="0" xfId="0" applyFont="1" applyAlignment="1">
      <alignment horizontal="center" vertical="center"/>
    </xf>
    <xf numFmtId="0" fontId="0" fillId="0" borderId="0" xfId="0" applyAlignment="1">
      <alignment horizontal="center" vertical="center"/>
    </xf>
    <xf numFmtId="0" fontId="2" fillId="0" borderId="45" xfId="0" applyFont="1" applyBorder="1" applyAlignment="1">
      <alignment horizontal="left" vertical="center" shrinkToFit="1"/>
    </xf>
    <xf numFmtId="0" fontId="2" fillId="0" borderId="39" xfId="0" applyFont="1" applyBorder="1" applyAlignment="1">
      <alignment horizontal="left" vertical="center" shrinkToFit="1"/>
    </xf>
    <xf numFmtId="0" fontId="0" fillId="0" borderId="54" xfId="0" applyBorder="1" applyAlignment="1">
      <alignment horizontal="center" vertical="center"/>
    </xf>
    <xf numFmtId="0" fontId="0" fillId="0" borderId="48" xfId="0" applyBorder="1" applyAlignment="1">
      <alignment horizontal="center" vertical="center"/>
    </xf>
    <xf numFmtId="0" fontId="0" fillId="0" borderId="37" xfId="0" applyBorder="1" applyAlignment="1">
      <alignment horizontal="center" vertical="center"/>
    </xf>
    <xf numFmtId="0" fontId="2" fillId="0" borderId="24" xfId="0" applyFont="1" applyBorder="1" applyAlignment="1">
      <alignment horizontal="left" vertical="center" wrapText="1"/>
    </xf>
    <xf numFmtId="0" fontId="0" fillId="0" borderId="47" xfId="0" applyFill="1" applyBorder="1" applyAlignment="1">
      <alignment horizontal="center" vertical="center"/>
    </xf>
    <xf numFmtId="0" fontId="0" fillId="0" borderId="55" xfId="0" applyFill="1" applyBorder="1" applyAlignment="1">
      <alignment horizontal="center" vertical="center"/>
    </xf>
    <xf numFmtId="0" fontId="0" fillId="0" borderId="24" xfId="0" applyFill="1" applyBorder="1" applyAlignment="1">
      <alignment horizontal="center" vertical="center"/>
    </xf>
    <xf numFmtId="0" fontId="0" fillId="0" borderId="19" xfId="0" applyFill="1" applyBorder="1" applyAlignment="1">
      <alignment horizontal="left" vertical="center"/>
    </xf>
    <xf numFmtId="0" fontId="0" fillId="0" borderId="19" xfId="0" applyFill="1" applyBorder="1" applyAlignment="1">
      <alignment horizontal="left" vertical="center" wrapText="1"/>
    </xf>
    <xf numFmtId="0" fontId="0" fillId="0" borderId="56" xfId="0" applyFill="1" applyBorder="1" applyAlignment="1">
      <alignment horizontal="center" vertical="center"/>
    </xf>
    <xf numFmtId="0" fontId="2" fillId="0" borderId="57" xfId="0" applyFont="1" applyBorder="1" applyAlignment="1">
      <alignment horizontal="left" vertical="center" wrapText="1"/>
    </xf>
    <xf numFmtId="0" fontId="0" fillId="0" borderId="58" xfId="0" applyFont="1" applyFill="1" applyBorder="1" applyAlignment="1">
      <alignment horizontal="center" vertical="center" shrinkToFit="1"/>
    </xf>
    <xf numFmtId="0" fontId="0" fillId="0" borderId="59" xfId="0" applyFont="1" applyFill="1" applyBorder="1" applyAlignment="1">
      <alignment horizontal="center" vertical="center" shrinkToFit="1"/>
    </xf>
    <xf numFmtId="0" fontId="0" fillId="0" borderId="60" xfId="0" applyFont="1" applyFill="1" applyBorder="1" applyAlignment="1">
      <alignment horizontal="center" vertical="center" shrinkToFit="1"/>
    </xf>
    <xf numFmtId="0" fontId="0" fillId="0" borderId="61" xfId="0" applyFont="1" applyFill="1" applyBorder="1" applyAlignment="1">
      <alignment horizontal="center" vertical="center" shrinkToFit="1"/>
    </xf>
    <xf numFmtId="0" fontId="2" fillId="0" borderId="36" xfId="0" applyFont="1" applyBorder="1" applyAlignment="1">
      <alignment horizontal="left" vertical="center" wrapText="1"/>
    </xf>
    <xf numFmtId="0" fontId="0" fillId="0" borderId="62" xfId="0" applyBorder="1" applyAlignment="1">
      <alignment horizontal="center" vertical="center"/>
    </xf>
    <xf numFmtId="0" fontId="0" fillId="0" borderId="3" xfId="0" applyFont="1" applyBorder="1" applyAlignment="1">
      <alignment horizontal="center" vertical="center"/>
    </xf>
    <xf numFmtId="0" fontId="0" fillId="0" borderId="63" xfId="0" applyFont="1" applyBorder="1" applyAlignment="1">
      <alignment horizontal="center" vertical="center"/>
    </xf>
    <xf numFmtId="38" fontId="0" fillId="0" borderId="4" xfId="5" applyFont="1" applyFill="1" applyBorder="1" applyAlignment="1">
      <alignment horizontal="right" vertical="center" wrapText="1"/>
    </xf>
    <xf numFmtId="38" fontId="0" fillId="2" borderId="2" xfId="5" applyFont="1" applyFill="1" applyBorder="1" applyAlignment="1">
      <alignment horizontal="right" vertical="center" wrapText="1"/>
    </xf>
    <xf numFmtId="38" fontId="0" fillId="2" borderId="27" xfId="5" applyFont="1" applyFill="1" applyBorder="1" applyAlignment="1">
      <alignment horizontal="right" vertical="center" wrapText="1"/>
    </xf>
    <xf numFmtId="38" fontId="0" fillId="2" borderId="4" xfId="5" applyFont="1" applyFill="1" applyBorder="1" applyAlignment="1">
      <alignment horizontal="right" vertical="center" wrapText="1"/>
    </xf>
    <xf numFmtId="38" fontId="0" fillId="2" borderId="1" xfId="5" applyFont="1" applyFill="1" applyBorder="1" applyAlignment="1">
      <alignment horizontal="right" vertical="center" wrapText="1"/>
    </xf>
    <xf numFmtId="38" fontId="0" fillId="2" borderId="64" xfId="5" applyFont="1" applyFill="1" applyBorder="1" applyAlignment="1">
      <alignment horizontal="right" vertical="center" wrapText="1"/>
    </xf>
    <xf numFmtId="38" fontId="0" fillId="0" borderId="65" xfId="5" applyFont="1" applyFill="1" applyBorder="1" applyAlignment="1">
      <alignment horizontal="right" vertical="center" wrapText="1"/>
    </xf>
    <xf numFmtId="3" fontId="0" fillId="3" borderId="2" xfId="0" applyNumberFormat="1" applyFill="1" applyBorder="1">
      <alignment vertical="center"/>
    </xf>
    <xf numFmtId="3" fontId="0" fillId="3" borderId="66" xfId="0" applyNumberFormat="1" applyFill="1" applyBorder="1">
      <alignment vertical="center"/>
    </xf>
    <xf numFmtId="3" fontId="0" fillId="3" borderId="1" xfId="0" applyNumberFormat="1" applyFill="1" applyBorder="1">
      <alignment vertical="center"/>
    </xf>
    <xf numFmtId="3" fontId="0" fillId="3" borderId="64" xfId="0" applyNumberFormat="1" applyFill="1" applyBorder="1">
      <alignment vertical="center"/>
    </xf>
    <xf numFmtId="38" fontId="0" fillId="0" borderId="46" xfId="5" applyFont="1" applyFill="1" applyBorder="1" applyAlignment="1">
      <alignment horizontal="right" vertical="center" wrapText="1"/>
    </xf>
    <xf numFmtId="3" fontId="0" fillId="3" borderId="66" xfId="0" applyNumberFormat="1" applyFill="1" applyBorder="1" applyAlignment="1">
      <alignment vertical="center"/>
    </xf>
    <xf numFmtId="3" fontId="0" fillId="3" borderId="1" xfId="0" applyNumberFormat="1" applyFill="1" applyBorder="1" applyAlignment="1">
      <alignment vertical="center"/>
    </xf>
    <xf numFmtId="3" fontId="0" fillId="3" borderId="64" xfId="0" applyNumberFormat="1" applyFill="1" applyBorder="1" applyAlignment="1">
      <alignment vertical="center"/>
    </xf>
    <xf numFmtId="0" fontId="0" fillId="0" borderId="46" xfId="0" applyBorder="1" applyAlignment="1">
      <alignment horizontal="left" vertical="center" shrinkToFit="1"/>
    </xf>
    <xf numFmtId="0" fontId="0" fillId="0" borderId="50" xfId="0" applyBorder="1" applyAlignment="1">
      <alignment horizontal="left" vertical="center" shrinkToFit="1"/>
    </xf>
    <xf numFmtId="0" fontId="0" fillId="0" borderId="67" xfId="0" applyBorder="1" applyAlignment="1">
      <alignment horizontal="left" vertical="center" shrinkToFit="1"/>
    </xf>
    <xf numFmtId="0" fontId="2" fillId="0" borderId="68" xfId="0" applyFont="1" applyBorder="1" applyAlignment="1">
      <alignment horizontal="left" vertical="center" shrinkToFit="1"/>
    </xf>
    <xf numFmtId="38" fontId="0" fillId="0" borderId="2" xfId="5" applyFont="1" applyFill="1" applyBorder="1" applyAlignment="1">
      <alignment horizontal="right" vertical="center" wrapText="1"/>
    </xf>
    <xf numFmtId="38" fontId="0" fillId="0" borderId="27" xfId="5" applyFont="1" applyFill="1" applyBorder="1" applyAlignment="1">
      <alignment horizontal="right" vertical="center" wrapText="1"/>
    </xf>
    <xf numFmtId="38" fontId="0" fillId="0" borderId="1" xfId="5" applyFont="1" applyFill="1" applyBorder="1" applyAlignment="1">
      <alignment horizontal="right" vertical="center" wrapText="1"/>
    </xf>
    <xf numFmtId="38" fontId="0" fillId="0" borderId="64" xfId="5" applyFont="1" applyFill="1" applyBorder="1" applyAlignment="1">
      <alignment horizontal="right" vertical="center" wrapText="1"/>
    </xf>
    <xf numFmtId="3" fontId="0" fillId="0" borderId="2" xfId="0" applyNumberFormat="1" applyFill="1" applyBorder="1" applyAlignment="1">
      <alignment horizontal="right" vertical="center"/>
    </xf>
    <xf numFmtId="3" fontId="0" fillId="0" borderId="66" xfId="0" applyNumberFormat="1" applyFill="1" applyBorder="1" applyAlignment="1">
      <alignment horizontal="right" vertical="center"/>
    </xf>
    <xf numFmtId="3" fontId="0" fillId="0" borderId="1" xfId="0" applyNumberFormat="1" applyFill="1" applyBorder="1" applyAlignment="1">
      <alignment horizontal="right" vertical="center"/>
    </xf>
    <xf numFmtId="3" fontId="0" fillId="0" borderId="64" xfId="0" applyNumberFormat="1" applyFill="1" applyBorder="1" applyAlignment="1">
      <alignment horizontal="right" vertical="center"/>
    </xf>
    <xf numFmtId="0" fontId="0" fillId="0" borderId="32" xfId="0" applyBorder="1" applyAlignment="1">
      <alignment horizontal="left" vertical="center" shrinkToFit="1"/>
    </xf>
    <xf numFmtId="0" fontId="2" fillId="0" borderId="32" xfId="0" applyFont="1" applyBorder="1" applyAlignment="1">
      <alignment vertical="center" shrinkToFit="1"/>
    </xf>
    <xf numFmtId="0" fontId="0" fillId="0" borderId="69" xfId="0" applyBorder="1" applyAlignment="1">
      <alignment horizontal="center" vertical="center" wrapText="1"/>
    </xf>
    <xf numFmtId="0" fontId="0" fillId="0" borderId="70" xfId="0" applyBorder="1" applyAlignment="1">
      <alignment horizontal="center" vertical="center"/>
    </xf>
    <xf numFmtId="0" fontId="0" fillId="0" borderId="71" xfId="0" applyBorder="1" applyAlignment="1">
      <alignment horizontal="center" vertical="center"/>
    </xf>
    <xf numFmtId="38" fontId="0" fillId="0" borderId="72" xfId="5" applyFont="1" applyFill="1" applyBorder="1" applyAlignment="1">
      <alignment horizontal="left" vertical="center" wrapText="1"/>
    </xf>
    <xf numFmtId="177" fontId="0" fillId="2" borderId="73" xfId="0" applyNumberFormat="1" applyFill="1" applyBorder="1" applyAlignment="1">
      <alignment horizontal="left" vertical="center" wrapText="1"/>
    </xf>
    <xf numFmtId="0" fontId="0" fillId="2" borderId="70" xfId="0" applyFill="1" applyBorder="1" applyAlignment="1">
      <alignment horizontal="left" vertical="center" wrapText="1"/>
    </xf>
    <xf numFmtId="0" fontId="0" fillId="2" borderId="72" xfId="0" applyFill="1" applyBorder="1" applyAlignment="1">
      <alignment horizontal="left" vertical="center" wrapText="1"/>
    </xf>
    <xf numFmtId="0" fontId="0" fillId="2" borderId="74" xfId="0" applyFill="1" applyBorder="1" applyAlignment="1">
      <alignment horizontal="left" vertical="center" wrapText="1"/>
    </xf>
    <xf numFmtId="0" fontId="0" fillId="2" borderId="75" xfId="0" applyFill="1" applyBorder="1" applyAlignment="1">
      <alignment horizontal="left" vertical="center" wrapText="1"/>
    </xf>
    <xf numFmtId="38" fontId="0" fillId="0" borderId="76" xfId="5" applyFont="1" applyFill="1" applyBorder="1" applyAlignment="1">
      <alignment horizontal="left" vertical="center" wrapText="1"/>
    </xf>
    <xf numFmtId="3" fontId="0" fillId="3" borderId="73" xfId="0" applyNumberFormat="1" applyFill="1" applyBorder="1" applyAlignment="1">
      <alignment horizontal="left" vertical="center" wrapText="1"/>
    </xf>
    <xf numFmtId="0" fontId="0" fillId="3" borderId="72" xfId="0" applyFill="1" applyBorder="1" applyAlignment="1">
      <alignment horizontal="left" vertical="center" wrapText="1"/>
    </xf>
    <xf numFmtId="3" fontId="0" fillId="3" borderId="72" xfId="0" applyNumberFormat="1" applyFill="1" applyBorder="1" applyAlignment="1">
      <alignment horizontal="left" vertical="center" wrapText="1"/>
    </xf>
    <xf numFmtId="3" fontId="0" fillId="3" borderId="74" xfId="0" applyNumberFormat="1" applyFill="1" applyBorder="1" applyAlignment="1">
      <alignment horizontal="left" vertical="center" wrapText="1"/>
    </xf>
    <xf numFmtId="3" fontId="0" fillId="3" borderId="75" xfId="0" applyNumberFormat="1" applyFill="1" applyBorder="1" applyAlignment="1">
      <alignment horizontal="left" vertical="center" wrapText="1"/>
    </xf>
    <xf numFmtId="38" fontId="0" fillId="0" borderId="77" xfId="5" applyFont="1" applyFill="1" applyBorder="1" applyAlignment="1">
      <alignment horizontal="left" vertical="center" wrapText="1"/>
    </xf>
    <xf numFmtId="3" fontId="0" fillId="3" borderId="41" xfId="0" applyNumberFormat="1" applyFont="1" applyFill="1" applyBorder="1">
      <alignment vertical="center"/>
    </xf>
    <xf numFmtId="0" fontId="13" fillId="0" borderId="0" xfId="0" applyFont="1" applyAlignment="1">
      <alignment horizontal="right" vertical="center"/>
    </xf>
    <xf numFmtId="0" fontId="13" fillId="0" borderId="0" xfId="0" applyFont="1">
      <alignment vertical="center"/>
    </xf>
  </cellXfs>
  <cellStyles count="6">
    <cellStyle name="桁区切り 3" xfId="1"/>
    <cellStyle name="標準" xfId="0" builtinId="0"/>
    <cellStyle name="標準 2" xfId="2"/>
    <cellStyle name="標準 2 2" xfId="3"/>
    <cellStyle name="標準 2 3" xfId="4"/>
    <cellStyle name="桁区切り" xfId="5" builtinId="6"/>
  </cellStyles>
  <tableStyles count="0" defaultTableStyle="TableStyleMedium9" defaultPivotStyle="PivotStyleLight16"/>
  <colors>
    <mruColors>
      <color rgb="FFCCFFCC"/>
      <color rgb="FFFFE1FF"/>
      <color rgb="FFFFFFCC"/>
      <color rgb="FFFFFF99"/>
      <color rgb="FFFFCCFF"/>
      <color rgb="FF0000CC"/>
      <color rgb="FFFFFFFF"/>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10</xdr:col>
      <xdr:colOff>285115</xdr:colOff>
      <xdr:row>1</xdr:row>
      <xdr:rowOff>0</xdr:rowOff>
    </xdr:from>
    <xdr:to xmlns:xdr="http://schemas.openxmlformats.org/drawingml/2006/spreadsheetDrawing">
      <xdr:col>10</xdr:col>
      <xdr:colOff>2237740</xdr:colOff>
      <xdr:row>4</xdr:row>
      <xdr:rowOff>10160</xdr:rowOff>
    </xdr:to>
    <xdr:sp macro="" textlink="">
      <xdr:nvSpPr>
        <xdr:cNvPr id="2" name="テキスト ボックス 1"/>
        <xdr:cNvSpPr txBox="1"/>
      </xdr:nvSpPr>
      <xdr:spPr>
        <a:xfrm>
          <a:off x="7065645" y="171450"/>
          <a:ext cx="1952625" cy="648335"/>
        </a:xfrm>
        <a:prstGeom prst="rect">
          <a:avLst/>
        </a:prstGeom>
        <a:solidFill>
          <a:srgbClr val="FFFF99"/>
        </a:solidFill>
        <a:ln w="19050" cmpd="sng">
          <a:solidFill>
            <a:srgbClr val="FF0000"/>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1200" b="1">
              <a:solidFill>
                <a:srgbClr val="FF0000"/>
              </a:solidFill>
              <a:latin typeface="+mn-ea"/>
              <a:ea typeface="+mn-ea"/>
            </a:rPr>
            <a:t>記載例</a:t>
          </a:r>
          <a:endParaRPr kumimoji="1" lang="en-US" altLang="ja-JP" sz="1200" b="1">
            <a:solidFill>
              <a:srgbClr val="FF0000"/>
            </a:solidFill>
            <a:latin typeface="+mn-ea"/>
            <a:ea typeface="+mn-ea"/>
          </a:endParaRPr>
        </a:p>
        <a:p>
          <a:pPr algn="ctr"/>
          <a:r>
            <a:rPr kumimoji="1" lang="ja-JP" altLang="en-US" sz="800" b="1">
              <a:solidFill>
                <a:srgbClr val="FF0000"/>
              </a:solidFill>
              <a:latin typeface="+mn-ea"/>
              <a:ea typeface="+mn-ea"/>
            </a:rPr>
            <a:t>（水稲</a:t>
          </a:r>
          <a:r>
            <a:rPr kumimoji="1" lang="en-US" altLang="ja-JP" sz="800" b="1">
              <a:solidFill>
                <a:srgbClr val="FF0000"/>
              </a:solidFill>
              <a:latin typeface="+mn-ea"/>
              <a:ea typeface="+mn-ea"/>
            </a:rPr>
            <a:t>+</a:t>
          </a:r>
          <a:r>
            <a:rPr kumimoji="1" lang="ja-JP" altLang="en-US" sz="800" b="1">
              <a:solidFill>
                <a:srgbClr val="FF0000"/>
              </a:solidFill>
              <a:latin typeface="+mn-ea"/>
              <a:ea typeface="+mn-ea"/>
            </a:rPr>
            <a:t>だいこん経営</a:t>
          </a:r>
          <a:endParaRPr kumimoji="1" lang="en-US" altLang="ja-JP" sz="800" b="1">
            <a:solidFill>
              <a:srgbClr val="FF0000"/>
            </a:solidFill>
            <a:latin typeface="+mn-ea"/>
            <a:ea typeface="+mn-ea"/>
          </a:endParaRPr>
        </a:p>
        <a:p>
          <a:pPr algn="ctr"/>
          <a:r>
            <a:rPr kumimoji="1" lang="ja-JP" altLang="en-US" sz="800" b="1">
              <a:solidFill>
                <a:srgbClr val="FF0000"/>
              </a:solidFill>
              <a:latin typeface="+mn-ea"/>
              <a:ea typeface="+mn-ea"/>
            </a:rPr>
            <a:t>の者が水稲の規模拡大を図る場合）</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vmlDrawing" Target="../drawings/vmlDrawing1.vml" /><Relationship Id="rId3" Type="http://schemas.openxmlformats.org/officeDocument/2006/relationships/comments" Target="../comments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1.xml" /><Relationship Id="rId3" Type="http://schemas.openxmlformats.org/officeDocument/2006/relationships/vmlDrawing" Target="../drawings/vmlDrawing2.vml" /><Relationship Id="rId4" Type="http://schemas.openxmlformats.org/officeDocument/2006/relationships/comments" Target="../comments2.xml"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FFFF00"/>
    <pageSetUpPr fitToPage="1"/>
  </sheetPr>
  <dimension ref="A1:L42"/>
  <sheetViews>
    <sheetView tabSelected="1" view="pageBreakPreview" zoomScaleSheetLayoutView="100" workbookViewId="0">
      <selection activeCell="F24" sqref="F24:G24"/>
    </sheetView>
  </sheetViews>
  <sheetFormatPr defaultColWidth="9" defaultRowHeight="13.5"/>
  <cols>
    <col min="1" max="1" width="10.6328125" style="1" customWidth="1"/>
    <col min="2" max="2" width="9.6328125" style="1" customWidth="1"/>
    <col min="3" max="3" width="8.26953125" style="1" bestFit="1" customWidth="1"/>
    <col min="4" max="4" width="10.6328125" style="1" customWidth="1"/>
    <col min="5" max="5" width="6.6328125" style="1" customWidth="1"/>
    <col min="6" max="6" width="10.6328125" style="1" customWidth="1"/>
    <col min="7" max="7" width="6.6328125" style="1" customWidth="1"/>
    <col min="8" max="8" width="10.6328125" style="1" customWidth="1"/>
    <col min="9" max="9" width="6.6328125" style="1" customWidth="1"/>
    <col min="10" max="10" width="10.6328125" style="1" customWidth="1"/>
    <col min="11" max="11" width="6.6328125" style="1" customWidth="1"/>
    <col min="12" max="12" width="15.6328125" style="1" customWidth="1"/>
    <col min="13" max="16384" width="9" style="1"/>
  </cols>
  <sheetData>
    <row r="1" spans="1:12" ht="18.75">
      <c r="A1" s="2" t="s">
        <v>8</v>
      </c>
      <c r="B1" s="2"/>
      <c r="C1" s="2"/>
      <c r="D1" s="2"/>
      <c r="E1" s="2"/>
      <c r="F1" s="2"/>
      <c r="G1" s="2"/>
      <c r="H1" s="2"/>
      <c r="I1" s="2"/>
      <c r="J1" s="2"/>
      <c r="K1" s="2"/>
      <c r="L1" s="2"/>
    </row>
    <row r="2" spans="1:12">
      <c r="G2" s="44"/>
    </row>
    <row r="3" spans="1:12">
      <c r="A3" s="1" t="s">
        <v>5</v>
      </c>
      <c r="G3" s="44"/>
    </row>
    <row r="4" spans="1:12">
      <c r="A4" s="3" t="s">
        <v>164</v>
      </c>
      <c r="B4" s="3" t="s">
        <v>27</v>
      </c>
      <c r="C4" s="3"/>
      <c r="D4" s="25" t="s">
        <v>16</v>
      </c>
      <c r="E4" s="25"/>
      <c r="F4" s="25" t="s">
        <v>85</v>
      </c>
      <c r="G4" s="25"/>
      <c r="H4" s="25" t="s">
        <v>181</v>
      </c>
      <c r="I4" s="25"/>
      <c r="J4" s="25" t="s">
        <v>18</v>
      </c>
      <c r="K4" s="25"/>
      <c r="L4" s="3" t="s">
        <v>158</v>
      </c>
    </row>
    <row r="5" spans="1:12">
      <c r="A5" s="4" t="s">
        <v>9</v>
      </c>
      <c r="B5" s="13" t="s">
        <v>10</v>
      </c>
      <c r="C5" s="19" t="s">
        <v>4</v>
      </c>
      <c r="D5" s="26">
        <v>1590</v>
      </c>
      <c r="E5" s="33" t="s">
        <v>1</v>
      </c>
      <c r="F5" s="26">
        <v>1716</v>
      </c>
      <c r="G5" s="33" t="s">
        <v>1</v>
      </c>
      <c r="H5" s="26">
        <v>1921</v>
      </c>
      <c r="I5" s="33" t="s">
        <v>1</v>
      </c>
      <c r="J5" s="26">
        <v>2532</v>
      </c>
      <c r="K5" s="33" t="s">
        <v>1</v>
      </c>
      <c r="L5" s="48" t="s">
        <v>100</v>
      </c>
    </row>
    <row r="6" spans="1:12">
      <c r="A6" s="5"/>
      <c r="B6" s="14" t="s">
        <v>0</v>
      </c>
      <c r="C6" s="20" t="s">
        <v>13</v>
      </c>
      <c r="D6" s="27">
        <v>422</v>
      </c>
      <c r="E6" s="34" t="s">
        <v>15</v>
      </c>
      <c r="F6" s="27">
        <v>430</v>
      </c>
      <c r="G6" s="34" t="s">
        <v>15</v>
      </c>
      <c r="H6" s="27">
        <v>430</v>
      </c>
      <c r="I6" s="34" t="s">
        <v>15</v>
      </c>
      <c r="J6" s="27">
        <v>430</v>
      </c>
      <c r="K6" s="34" t="s">
        <v>15</v>
      </c>
      <c r="L6" s="49"/>
    </row>
    <row r="7" spans="1:12">
      <c r="A7" s="5"/>
      <c r="B7" s="14" t="s">
        <v>20</v>
      </c>
      <c r="C7" s="20" t="s">
        <v>125</v>
      </c>
      <c r="D7" s="27">
        <f>D5*D6/10</f>
        <v>67098</v>
      </c>
      <c r="E7" s="34" t="s">
        <v>22</v>
      </c>
      <c r="F7" s="27">
        <f>F5*F6/10</f>
        <v>73788</v>
      </c>
      <c r="G7" s="34" t="s">
        <v>22</v>
      </c>
      <c r="H7" s="27">
        <f>H5*H6/10</f>
        <v>82603</v>
      </c>
      <c r="I7" s="34" t="s">
        <v>22</v>
      </c>
      <c r="J7" s="27">
        <f>J5*J6/10</f>
        <v>108876</v>
      </c>
      <c r="K7" s="34" t="s">
        <v>22</v>
      </c>
      <c r="L7" s="49"/>
    </row>
    <row r="8" spans="1:12">
      <c r="A8" s="5"/>
      <c r="B8" s="14" t="s">
        <v>17</v>
      </c>
      <c r="C8" s="20" t="s">
        <v>24</v>
      </c>
      <c r="D8" s="27">
        <v>182</v>
      </c>
      <c r="E8" s="34" t="s">
        <v>26</v>
      </c>
      <c r="F8" s="27">
        <v>193</v>
      </c>
      <c r="G8" s="34" t="s">
        <v>26</v>
      </c>
      <c r="H8" s="27">
        <v>193</v>
      </c>
      <c r="I8" s="34" t="s">
        <v>26</v>
      </c>
      <c r="J8" s="27">
        <v>193</v>
      </c>
      <c r="K8" s="34" t="s">
        <v>26</v>
      </c>
      <c r="L8" s="49"/>
    </row>
    <row r="9" spans="1:12">
      <c r="A9" s="6"/>
      <c r="B9" s="15" t="s">
        <v>29</v>
      </c>
      <c r="C9" s="21" t="s">
        <v>31</v>
      </c>
      <c r="D9" s="28">
        <f>D7*D8</f>
        <v>12211836</v>
      </c>
      <c r="E9" s="35" t="s">
        <v>28</v>
      </c>
      <c r="F9" s="28">
        <f>F7*F8</f>
        <v>14241084</v>
      </c>
      <c r="G9" s="35" t="s">
        <v>28</v>
      </c>
      <c r="H9" s="28">
        <f>H7*H8</f>
        <v>15942379</v>
      </c>
      <c r="I9" s="35" t="s">
        <v>28</v>
      </c>
      <c r="J9" s="28">
        <f>J7*J8</f>
        <v>21013068</v>
      </c>
      <c r="K9" s="35" t="s">
        <v>28</v>
      </c>
      <c r="L9" s="50"/>
    </row>
    <row r="10" spans="1:12">
      <c r="A10" s="4" t="s">
        <v>36</v>
      </c>
      <c r="B10" s="13" t="s">
        <v>10</v>
      </c>
      <c r="C10" s="19" t="s">
        <v>4</v>
      </c>
      <c r="D10" s="26">
        <v>80</v>
      </c>
      <c r="E10" s="33" t="s">
        <v>1</v>
      </c>
      <c r="F10" s="26">
        <v>80</v>
      </c>
      <c r="G10" s="33" t="s">
        <v>1</v>
      </c>
      <c r="H10" s="26">
        <v>80</v>
      </c>
      <c r="I10" s="33" t="s">
        <v>1</v>
      </c>
      <c r="J10" s="26">
        <v>80</v>
      </c>
      <c r="K10" s="33" t="s">
        <v>1</v>
      </c>
      <c r="L10" s="48" t="s">
        <v>159</v>
      </c>
    </row>
    <row r="11" spans="1:12">
      <c r="A11" s="5"/>
      <c r="B11" s="14" t="s">
        <v>0</v>
      </c>
      <c r="C11" s="20" t="s">
        <v>13</v>
      </c>
      <c r="D11" s="27">
        <v>5810</v>
      </c>
      <c r="E11" s="34" t="s">
        <v>15</v>
      </c>
      <c r="F11" s="27">
        <v>5810</v>
      </c>
      <c r="G11" s="34" t="s">
        <v>15</v>
      </c>
      <c r="H11" s="27">
        <v>5810</v>
      </c>
      <c r="I11" s="34" t="s">
        <v>15</v>
      </c>
      <c r="J11" s="27">
        <v>5810</v>
      </c>
      <c r="K11" s="34" t="s">
        <v>15</v>
      </c>
      <c r="L11" s="49"/>
    </row>
    <row r="12" spans="1:12">
      <c r="A12" s="5"/>
      <c r="B12" s="14" t="s">
        <v>20</v>
      </c>
      <c r="C12" s="20" t="s">
        <v>125</v>
      </c>
      <c r="D12" s="27">
        <f>D10*D11/10</f>
        <v>46480</v>
      </c>
      <c r="E12" s="34" t="s">
        <v>22</v>
      </c>
      <c r="F12" s="27">
        <f>F10*F11/10</f>
        <v>46480</v>
      </c>
      <c r="G12" s="34" t="s">
        <v>22</v>
      </c>
      <c r="H12" s="27">
        <f>H10*H11/10</f>
        <v>46480</v>
      </c>
      <c r="I12" s="34" t="s">
        <v>22</v>
      </c>
      <c r="J12" s="27">
        <f>J10*J11/10</f>
        <v>46480</v>
      </c>
      <c r="K12" s="34" t="s">
        <v>22</v>
      </c>
      <c r="L12" s="49"/>
    </row>
    <row r="13" spans="1:12">
      <c r="A13" s="5"/>
      <c r="B13" s="14" t="s">
        <v>17</v>
      </c>
      <c r="C13" s="20" t="s">
        <v>24</v>
      </c>
      <c r="D13" s="27">
        <v>72</v>
      </c>
      <c r="E13" s="34" t="s">
        <v>73</v>
      </c>
      <c r="F13" s="27">
        <v>72</v>
      </c>
      <c r="G13" s="34" t="s">
        <v>73</v>
      </c>
      <c r="H13" s="27">
        <v>72</v>
      </c>
      <c r="I13" s="34" t="s">
        <v>73</v>
      </c>
      <c r="J13" s="27">
        <v>72</v>
      </c>
      <c r="K13" s="34" t="s">
        <v>73</v>
      </c>
      <c r="L13" s="49"/>
    </row>
    <row r="14" spans="1:12">
      <c r="A14" s="6"/>
      <c r="B14" s="15" t="s">
        <v>29</v>
      </c>
      <c r="C14" s="21" t="s">
        <v>31</v>
      </c>
      <c r="D14" s="28">
        <f>+D12*D13</f>
        <v>3346560</v>
      </c>
      <c r="E14" s="35" t="s">
        <v>62</v>
      </c>
      <c r="F14" s="28">
        <f>+F12*F13</f>
        <v>3346560</v>
      </c>
      <c r="G14" s="35" t="s">
        <v>62</v>
      </c>
      <c r="H14" s="28">
        <f>+H12*H13</f>
        <v>3346560</v>
      </c>
      <c r="I14" s="35" t="s">
        <v>62</v>
      </c>
      <c r="J14" s="28">
        <f>+J12*J13</f>
        <v>3346560</v>
      </c>
      <c r="K14" s="35" t="s">
        <v>62</v>
      </c>
      <c r="L14" s="50"/>
    </row>
    <row r="15" spans="1:12">
      <c r="A15" s="4"/>
      <c r="B15" s="13" t="s">
        <v>10</v>
      </c>
      <c r="C15" s="19" t="s">
        <v>4</v>
      </c>
      <c r="D15" s="26"/>
      <c r="E15" s="33" t="s">
        <v>1</v>
      </c>
      <c r="F15" s="26"/>
      <c r="G15" s="33" t="s">
        <v>1</v>
      </c>
      <c r="H15" s="26"/>
      <c r="I15" s="33" t="s">
        <v>1</v>
      </c>
      <c r="J15" s="26"/>
      <c r="K15" s="33" t="s">
        <v>1</v>
      </c>
      <c r="L15" s="48"/>
    </row>
    <row r="16" spans="1:12">
      <c r="A16" s="5"/>
      <c r="B16" s="14" t="s">
        <v>0</v>
      </c>
      <c r="C16" s="20" t="s">
        <v>13</v>
      </c>
      <c r="D16" s="27"/>
      <c r="E16" s="34" t="s">
        <v>15</v>
      </c>
      <c r="F16" s="27"/>
      <c r="G16" s="34" t="s">
        <v>15</v>
      </c>
      <c r="H16" s="27"/>
      <c r="I16" s="34" t="s">
        <v>15</v>
      </c>
      <c r="J16" s="27"/>
      <c r="K16" s="34" t="s">
        <v>15</v>
      </c>
      <c r="L16" s="49"/>
    </row>
    <row r="17" spans="1:12">
      <c r="A17" s="5"/>
      <c r="B17" s="14" t="s">
        <v>20</v>
      </c>
      <c r="C17" s="20" t="s">
        <v>125</v>
      </c>
      <c r="D17" s="27">
        <f>D15*D16/10</f>
        <v>0</v>
      </c>
      <c r="E17" s="34" t="s">
        <v>22</v>
      </c>
      <c r="F17" s="27">
        <f>F15*F16/10</f>
        <v>0</v>
      </c>
      <c r="G17" s="34" t="s">
        <v>22</v>
      </c>
      <c r="H17" s="27">
        <f>H15*H16/10</f>
        <v>0</v>
      </c>
      <c r="I17" s="34" t="s">
        <v>22</v>
      </c>
      <c r="J17" s="27">
        <f>J15*J16/10</f>
        <v>0</v>
      </c>
      <c r="K17" s="34" t="s">
        <v>22</v>
      </c>
      <c r="L17" s="49"/>
    </row>
    <row r="18" spans="1:12">
      <c r="A18" s="5"/>
      <c r="B18" s="14" t="s">
        <v>17</v>
      </c>
      <c r="C18" s="20" t="s">
        <v>24</v>
      </c>
      <c r="D18" s="27"/>
      <c r="E18" s="34" t="s">
        <v>26</v>
      </c>
      <c r="F18" s="27"/>
      <c r="G18" s="34" t="s">
        <v>26</v>
      </c>
      <c r="H18" s="27"/>
      <c r="I18" s="34" t="s">
        <v>26</v>
      </c>
      <c r="J18" s="27"/>
      <c r="K18" s="34" t="s">
        <v>26</v>
      </c>
      <c r="L18" s="49"/>
    </row>
    <row r="19" spans="1:12">
      <c r="A19" s="6"/>
      <c r="B19" s="15" t="s">
        <v>29</v>
      </c>
      <c r="C19" s="21" t="s">
        <v>31</v>
      </c>
      <c r="D19" s="28">
        <f>+D17*D18</f>
        <v>0</v>
      </c>
      <c r="E19" s="35" t="s">
        <v>28</v>
      </c>
      <c r="F19" s="28">
        <f>+F17*F18</f>
        <v>0</v>
      </c>
      <c r="G19" s="35" t="s">
        <v>28</v>
      </c>
      <c r="H19" s="28">
        <f>+H17*H18</f>
        <v>0</v>
      </c>
      <c r="I19" s="35" t="s">
        <v>28</v>
      </c>
      <c r="J19" s="28">
        <f>+J17*J18</f>
        <v>0</v>
      </c>
      <c r="K19" s="35" t="s">
        <v>28</v>
      </c>
      <c r="L19" s="50"/>
    </row>
    <row r="20" spans="1:12">
      <c r="A20" s="7" t="s">
        <v>32</v>
      </c>
      <c r="B20" s="16"/>
      <c r="C20" s="22" t="s">
        <v>35</v>
      </c>
      <c r="D20" s="29">
        <f>D9+D14+D19</f>
        <v>15558396</v>
      </c>
      <c r="E20" s="36" t="s">
        <v>28</v>
      </c>
      <c r="F20" s="29">
        <f>F9+F14+F19</f>
        <v>17587644</v>
      </c>
      <c r="G20" s="36" t="s">
        <v>28</v>
      </c>
      <c r="H20" s="29">
        <f>H9+H14+H19</f>
        <v>19288939</v>
      </c>
      <c r="I20" s="36" t="s">
        <v>28</v>
      </c>
      <c r="J20" s="29">
        <f>J9+J14+J19</f>
        <v>24359628</v>
      </c>
      <c r="K20" s="36" t="s">
        <v>28</v>
      </c>
      <c r="L20" s="48"/>
    </row>
    <row r="21" spans="1:12">
      <c r="A21" s="8" t="s">
        <v>74</v>
      </c>
      <c r="B21" s="17"/>
      <c r="C21" s="23"/>
      <c r="D21" s="30" t="s">
        <v>2</v>
      </c>
      <c r="E21" s="37" t="s">
        <v>70</v>
      </c>
      <c r="F21" s="43">
        <f>IF(F20=0,,+F20/$D20*100)</f>
        <v>113.04278410190871</v>
      </c>
      <c r="G21" s="45" t="s">
        <v>70</v>
      </c>
      <c r="H21" s="43">
        <f>IF(H20=0,,+H20/$D20*100)</f>
        <v>123.97768381779201</v>
      </c>
      <c r="I21" s="37" t="s">
        <v>70</v>
      </c>
      <c r="J21" s="43">
        <f>IF(J20=0,,+J20/$D20*100)</f>
        <v>156.56901906854665</v>
      </c>
      <c r="K21" s="45" t="s">
        <v>70</v>
      </c>
      <c r="L21" s="50"/>
    </row>
    <row r="22" spans="1:12">
      <c r="D22" s="31"/>
      <c r="E22" s="38"/>
      <c r="F22" s="31"/>
      <c r="G22" s="38"/>
      <c r="H22" s="31"/>
      <c r="I22" s="31"/>
      <c r="J22" s="31"/>
      <c r="K22" s="31"/>
    </row>
    <row r="23" spans="1:12">
      <c r="A23" s="1" t="s">
        <v>137</v>
      </c>
      <c r="D23" s="31"/>
      <c r="E23" s="38"/>
      <c r="F23" s="31"/>
      <c r="G23" s="38"/>
      <c r="H23" s="31"/>
      <c r="I23" s="31"/>
      <c r="J23" s="31"/>
      <c r="K23" s="31"/>
    </row>
    <row r="24" spans="1:12">
      <c r="A24" s="3" t="s">
        <v>21</v>
      </c>
      <c r="B24" s="3" t="s">
        <v>27</v>
      </c>
      <c r="C24" s="3"/>
      <c r="D24" s="25" t="str">
        <f>+D4</f>
        <v>現状</v>
      </c>
      <c r="E24" s="25"/>
      <c r="F24" s="25" t="str">
        <f>+F4</f>
        <v>R7年度</v>
      </c>
      <c r="G24" s="25"/>
      <c r="H24" s="25" t="str">
        <f>+H4</f>
        <v>R8年度</v>
      </c>
      <c r="I24" s="25"/>
      <c r="J24" s="25" t="str">
        <f>+J4</f>
        <v>R9年度</v>
      </c>
      <c r="K24" s="25"/>
      <c r="L24" s="3" t="str">
        <f>+L4</f>
        <v>備考</v>
      </c>
    </row>
    <row r="25" spans="1:12">
      <c r="A25" s="9"/>
      <c r="B25" s="14" t="s">
        <v>37</v>
      </c>
      <c r="C25" s="19" t="s">
        <v>4</v>
      </c>
      <c r="D25" s="27"/>
      <c r="E25" s="39" t="s">
        <v>22</v>
      </c>
      <c r="F25" s="27"/>
      <c r="G25" s="39" t="s">
        <v>22</v>
      </c>
      <c r="H25" s="27"/>
      <c r="I25" s="39" t="s">
        <v>22</v>
      </c>
      <c r="J25" s="27"/>
      <c r="K25" s="39" t="s">
        <v>22</v>
      </c>
      <c r="L25" s="48"/>
    </row>
    <row r="26" spans="1:12">
      <c r="A26" s="5"/>
      <c r="B26" s="14" t="s">
        <v>17</v>
      </c>
      <c r="C26" s="20" t="s">
        <v>13</v>
      </c>
      <c r="D26" s="27"/>
      <c r="E26" s="39" t="s">
        <v>26</v>
      </c>
      <c r="F26" s="27"/>
      <c r="G26" s="39" t="s">
        <v>26</v>
      </c>
      <c r="H26" s="27"/>
      <c r="I26" s="39" t="s">
        <v>26</v>
      </c>
      <c r="J26" s="27"/>
      <c r="K26" s="39" t="s">
        <v>26</v>
      </c>
      <c r="L26" s="49"/>
    </row>
    <row r="27" spans="1:12">
      <c r="A27" s="6"/>
      <c r="B27" s="15" t="s">
        <v>29</v>
      </c>
      <c r="C27" s="21" t="s">
        <v>39</v>
      </c>
      <c r="D27" s="28">
        <f>+D25*D26</f>
        <v>0</v>
      </c>
      <c r="E27" s="40" t="s">
        <v>28</v>
      </c>
      <c r="F27" s="28">
        <f>+F25*F26</f>
        <v>0</v>
      </c>
      <c r="G27" s="40" t="s">
        <v>28</v>
      </c>
      <c r="H27" s="28">
        <f>+H25*H26</f>
        <v>0</v>
      </c>
      <c r="I27" s="40" t="s">
        <v>28</v>
      </c>
      <c r="J27" s="28">
        <f>+J25*J26</f>
        <v>0</v>
      </c>
      <c r="K27" s="40" t="s">
        <v>28</v>
      </c>
      <c r="L27" s="50"/>
    </row>
    <row r="28" spans="1:12">
      <c r="A28" s="5"/>
      <c r="B28" s="14" t="s">
        <v>37</v>
      </c>
      <c r="C28" s="20" t="s">
        <v>4</v>
      </c>
      <c r="D28" s="27"/>
      <c r="E28" s="39" t="s">
        <v>22</v>
      </c>
      <c r="F28" s="27"/>
      <c r="G28" s="39" t="s">
        <v>22</v>
      </c>
      <c r="H28" s="27"/>
      <c r="I28" s="39" t="s">
        <v>22</v>
      </c>
      <c r="J28" s="27"/>
      <c r="K28" s="39" t="s">
        <v>22</v>
      </c>
      <c r="L28" s="48"/>
    </row>
    <row r="29" spans="1:12">
      <c r="A29" s="5"/>
      <c r="B29" s="14" t="s">
        <v>17</v>
      </c>
      <c r="C29" s="20" t="s">
        <v>13</v>
      </c>
      <c r="D29" s="27"/>
      <c r="E29" s="39" t="s">
        <v>26</v>
      </c>
      <c r="F29" s="27"/>
      <c r="G29" s="39" t="s">
        <v>26</v>
      </c>
      <c r="H29" s="27"/>
      <c r="I29" s="39" t="s">
        <v>26</v>
      </c>
      <c r="J29" s="27"/>
      <c r="K29" s="39" t="s">
        <v>26</v>
      </c>
      <c r="L29" s="49"/>
    </row>
    <row r="30" spans="1:12">
      <c r="A30" s="6"/>
      <c r="B30" s="15" t="s">
        <v>29</v>
      </c>
      <c r="C30" s="21" t="s">
        <v>39</v>
      </c>
      <c r="D30" s="28">
        <f>+D28*D29</f>
        <v>0</v>
      </c>
      <c r="E30" s="40" t="s">
        <v>28</v>
      </c>
      <c r="F30" s="28">
        <f>+F28*F29</f>
        <v>0</v>
      </c>
      <c r="G30" s="40" t="s">
        <v>28</v>
      </c>
      <c r="H30" s="28">
        <f>+H28*H29</f>
        <v>0</v>
      </c>
      <c r="I30" s="40" t="s">
        <v>28</v>
      </c>
      <c r="J30" s="28">
        <f>+J28*J29</f>
        <v>0</v>
      </c>
      <c r="K30" s="40" t="s">
        <v>28</v>
      </c>
      <c r="L30" s="50"/>
    </row>
    <row r="31" spans="1:12">
      <c r="A31" s="5"/>
      <c r="B31" s="14" t="s">
        <v>37</v>
      </c>
      <c r="C31" s="20" t="s">
        <v>4</v>
      </c>
      <c r="D31" s="27"/>
      <c r="E31" s="39" t="s">
        <v>22</v>
      </c>
      <c r="F31" s="27"/>
      <c r="G31" s="39" t="s">
        <v>22</v>
      </c>
      <c r="H31" s="27"/>
      <c r="I31" s="39" t="s">
        <v>22</v>
      </c>
      <c r="J31" s="27"/>
      <c r="K31" s="39" t="s">
        <v>22</v>
      </c>
      <c r="L31" s="48"/>
    </row>
    <row r="32" spans="1:12">
      <c r="A32" s="5"/>
      <c r="B32" s="14" t="s">
        <v>17</v>
      </c>
      <c r="C32" s="20" t="s">
        <v>13</v>
      </c>
      <c r="D32" s="27"/>
      <c r="E32" s="39" t="s">
        <v>26</v>
      </c>
      <c r="F32" s="27"/>
      <c r="G32" s="39" t="s">
        <v>26</v>
      </c>
      <c r="H32" s="27"/>
      <c r="I32" s="39" t="s">
        <v>26</v>
      </c>
      <c r="J32" s="27"/>
      <c r="K32" s="39" t="s">
        <v>26</v>
      </c>
      <c r="L32" s="49"/>
    </row>
    <row r="33" spans="1:12">
      <c r="A33" s="6"/>
      <c r="B33" s="15" t="s">
        <v>29</v>
      </c>
      <c r="C33" s="21" t="s">
        <v>39</v>
      </c>
      <c r="D33" s="28">
        <f>+D31*D32</f>
        <v>0</v>
      </c>
      <c r="E33" s="40" t="s">
        <v>28</v>
      </c>
      <c r="F33" s="28">
        <f>+F31*F32</f>
        <v>0</v>
      </c>
      <c r="G33" s="40" t="s">
        <v>28</v>
      </c>
      <c r="H33" s="28">
        <f>+H31*H32</f>
        <v>0</v>
      </c>
      <c r="I33" s="40" t="s">
        <v>28</v>
      </c>
      <c r="J33" s="28">
        <f>+J31*J32</f>
        <v>0</v>
      </c>
      <c r="K33" s="40" t="s">
        <v>28</v>
      </c>
      <c r="L33" s="50"/>
    </row>
    <row r="34" spans="1:12">
      <c r="A34" s="7" t="s">
        <v>32</v>
      </c>
      <c r="B34" s="16"/>
      <c r="C34" s="22" t="s">
        <v>43</v>
      </c>
      <c r="D34" s="29">
        <f>+D27+D30+D33</f>
        <v>0</v>
      </c>
      <c r="E34" s="41" t="s">
        <v>28</v>
      </c>
      <c r="F34" s="29">
        <f>+F27+F30+F33</f>
        <v>0</v>
      </c>
      <c r="G34" s="41" t="s">
        <v>28</v>
      </c>
      <c r="H34" s="29">
        <f>+H27+H30+H33</f>
        <v>0</v>
      </c>
      <c r="I34" s="41" t="s">
        <v>28</v>
      </c>
      <c r="J34" s="29">
        <f>+J27+J30+J33</f>
        <v>0</v>
      </c>
      <c r="K34" s="41" t="s">
        <v>28</v>
      </c>
      <c r="L34" s="48"/>
    </row>
    <row r="35" spans="1:12">
      <c r="A35" s="8" t="s">
        <v>74</v>
      </c>
      <c r="B35" s="17"/>
      <c r="C35" s="23"/>
      <c r="D35" s="30" t="s">
        <v>2</v>
      </c>
      <c r="E35" s="37" t="s">
        <v>70</v>
      </c>
      <c r="F35" s="43">
        <f>IF(F34=0,,+F34/$D34*100)</f>
        <v>0</v>
      </c>
      <c r="G35" s="45" t="s">
        <v>70</v>
      </c>
      <c r="H35" s="43">
        <f>IF(H34=0,,+H34/$D34*100)</f>
        <v>0</v>
      </c>
      <c r="I35" s="37" t="s">
        <v>70</v>
      </c>
      <c r="J35" s="43">
        <f>IF(J34=0,,+J34/$D34*100)</f>
        <v>0</v>
      </c>
      <c r="K35" s="45" t="s">
        <v>70</v>
      </c>
      <c r="L35" s="50"/>
    </row>
    <row r="36" spans="1:12">
      <c r="A36" s="10"/>
      <c r="B36" s="10"/>
      <c r="C36" s="10"/>
      <c r="D36" s="32"/>
      <c r="E36" s="42"/>
      <c r="F36" s="32"/>
      <c r="G36" s="42"/>
      <c r="H36" s="32"/>
      <c r="I36" s="42"/>
      <c r="J36" s="32"/>
      <c r="K36" s="42"/>
    </row>
    <row r="37" spans="1:12">
      <c r="A37" s="1" t="s">
        <v>44</v>
      </c>
      <c r="G37" s="44"/>
    </row>
    <row r="38" spans="1:12">
      <c r="A38" s="11"/>
      <c r="B38" s="18"/>
      <c r="C38" s="24"/>
      <c r="D38" s="25" t="str">
        <f>+D24</f>
        <v>現状</v>
      </c>
      <c r="E38" s="25"/>
      <c r="F38" s="25" t="str">
        <f>+F24</f>
        <v>R7年度</v>
      </c>
      <c r="G38" s="25"/>
      <c r="H38" s="25" t="str">
        <f>+H24</f>
        <v>R8年度</v>
      </c>
      <c r="I38" s="25"/>
      <c r="J38" s="25" t="str">
        <f>+J24</f>
        <v>R9年度</v>
      </c>
      <c r="K38" s="25"/>
      <c r="L38" s="3" t="str">
        <f>+L24</f>
        <v>備考</v>
      </c>
    </row>
    <row r="39" spans="1:12">
      <c r="A39" s="7" t="s">
        <v>32</v>
      </c>
      <c r="B39" s="16"/>
      <c r="C39" s="22" t="s">
        <v>45</v>
      </c>
      <c r="D39" s="29">
        <f>D20+D34</f>
        <v>15558396</v>
      </c>
      <c r="E39" s="16" t="s">
        <v>28</v>
      </c>
      <c r="F39" s="29">
        <f>F20+F34</f>
        <v>17587644</v>
      </c>
      <c r="G39" s="46" t="s">
        <v>28</v>
      </c>
      <c r="H39" s="47">
        <f>H20+H34</f>
        <v>19288939</v>
      </c>
      <c r="I39" s="16" t="s">
        <v>28</v>
      </c>
      <c r="J39" s="29">
        <f>J20+J34</f>
        <v>24359628</v>
      </c>
      <c r="K39" s="46" t="s">
        <v>28</v>
      </c>
      <c r="L39" s="48"/>
    </row>
    <row r="40" spans="1:12">
      <c r="A40" s="8" t="s">
        <v>74</v>
      </c>
      <c r="B40" s="17"/>
      <c r="C40" s="23"/>
      <c r="D40" s="30" t="s">
        <v>2</v>
      </c>
      <c r="E40" s="37" t="s">
        <v>70</v>
      </c>
      <c r="F40" s="43">
        <f>IF(F39=0,,+F39/$D39*100)</f>
        <v>113.04278410190871</v>
      </c>
      <c r="G40" s="45" t="s">
        <v>70</v>
      </c>
      <c r="H40" s="43">
        <f>IF(H39=0,,+H39/$D39*100)</f>
        <v>123.97768381779201</v>
      </c>
      <c r="I40" s="37" t="s">
        <v>70</v>
      </c>
      <c r="J40" s="43">
        <f>IF(J39=0,,+J39/$D39*100)</f>
        <v>156.56901906854665</v>
      </c>
      <c r="K40" s="45" t="s">
        <v>70</v>
      </c>
      <c r="L40" s="50"/>
    </row>
    <row r="41" spans="1:12">
      <c r="A41" s="12"/>
    </row>
    <row r="42" spans="1:12">
      <c r="A42" s="12"/>
    </row>
  </sheetData>
  <mergeCells count="36">
    <mergeCell ref="A1:L1"/>
    <mergeCell ref="B4:C4"/>
    <mergeCell ref="D4:E4"/>
    <mergeCell ref="F4:G4"/>
    <mergeCell ref="H4:I4"/>
    <mergeCell ref="J4:K4"/>
    <mergeCell ref="A20:B20"/>
    <mergeCell ref="A21:B21"/>
    <mergeCell ref="B24:C24"/>
    <mergeCell ref="D24:E24"/>
    <mergeCell ref="F24:G24"/>
    <mergeCell ref="H24:I24"/>
    <mergeCell ref="J24:K24"/>
    <mergeCell ref="A34:B34"/>
    <mergeCell ref="A35:B35"/>
    <mergeCell ref="D38:E38"/>
    <mergeCell ref="F38:G38"/>
    <mergeCell ref="H38:I38"/>
    <mergeCell ref="J38:K38"/>
    <mergeCell ref="A39:B39"/>
    <mergeCell ref="A40:B40"/>
    <mergeCell ref="A5:A9"/>
    <mergeCell ref="L5:L9"/>
    <mergeCell ref="A10:A14"/>
    <mergeCell ref="L10:L14"/>
    <mergeCell ref="A15:A19"/>
    <mergeCell ref="L15:L19"/>
    <mergeCell ref="L20:L21"/>
    <mergeCell ref="A25:A27"/>
    <mergeCell ref="L25:L27"/>
    <mergeCell ref="A28:A30"/>
    <mergeCell ref="L28:L30"/>
    <mergeCell ref="A31:A33"/>
    <mergeCell ref="L31:L33"/>
    <mergeCell ref="L34:L35"/>
    <mergeCell ref="L39:L40"/>
  </mergeCells>
  <phoneticPr fontId="4"/>
  <pageMargins left="0.59055118110236227" right="0.19685039370078741" top="0.74803149606299213" bottom="0.74803149606299213" header="0.31496062992125984" footer="0.31496062992125984"/>
  <pageSetup paperSize="9" scale="86" fitToWidth="1" fitToHeight="1" orientation="portrait" usePrinterDefaults="1"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rgb="FFFF0000"/>
    <pageSetUpPr fitToPage="1"/>
  </sheetPr>
  <dimension ref="B1:K34"/>
  <sheetViews>
    <sheetView view="pageBreakPreview" zoomScale="75" zoomScaleSheetLayoutView="75" workbookViewId="0">
      <pane xSplit="3" ySplit="5" topLeftCell="D6" activePane="bottomRight" state="frozen"/>
      <selection pane="topRight"/>
      <selection pane="bottomLeft"/>
      <selection pane="bottomRight" activeCell="J5" sqref="J5"/>
    </sheetView>
  </sheetViews>
  <sheetFormatPr defaultColWidth="9" defaultRowHeight="13.5"/>
  <cols>
    <col min="1" max="1" width="3.90625" style="1" customWidth="1"/>
    <col min="2" max="2" width="17.08984375" style="1" bestFit="1" customWidth="1"/>
    <col min="3" max="3" width="29" style="1" customWidth="1"/>
    <col min="4" max="4" width="13.26953125" style="1" bestFit="1" customWidth="1"/>
    <col min="5" max="5" width="55.6328125" style="1" customWidth="1"/>
    <col min="6" max="6" width="13.26953125" style="1" bestFit="1" customWidth="1"/>
    <col min="7" max="7" width="55.6328125" style="1" customWidth="1"/>
    <col min="8" max="8" width="12.08984375" style="1" bestFit="1" customWidth="1"/>
    <col min="9" max="9" width="60.6328125" style="1" customWidth="1"/>
    <col min="10" max="10" width="12.08984375" style="1" bestFit="1" customWidth="1"/>
    <col min="11" max="11" width="60.6328125" style="1" customWidth="1"/>
    <col min="12" max="12" width="5" style="1" customWidth="1"/>
    <col min="13" max="16384" width="9" style="1"/>
  </cols>
  <sheetData>
    <row r="1" spans="2:11" ht="18.75">
      <c r="B1" s="51" t="s">
        <v>129</v>
      </c>
      <c r="C1" s="51"/>
      <c r="D1" s="51"/>
      <c r="E1" s="51"/>
      <c r="F1" s="51"/>
      <c r="G1" s="51"/>
      <c r="H1" s="51"/>
      <c r="I1" s="51"/>
      <c r="J1" s="51"/>
      <c r="K1" s="51"/>
    </row>
    <row r="3" spans="2:11" ht="19.5" customHeight="1">
      <c r="B3" s="52" t="s">
        <v>46</v>
      </c>
    </row>
    <row r="4" spans="2:11" ht="21" customHeight="1">
      <c r="B4" s="4" t="s">
        <v>47</v>
      </c>
      <c r="C4" s="4" t="s">
        <v>6</v>
      </c>
      <c r="D4" s="11" t="s">
        <v>161</v>
      </c>
      <c r="E4" s="73"/>
      <c r="F4" s="11" t="s">
        <v>182</v>
      </c>
      <c r="G4" s="73"/>
      <c r="H4" s="11" t="s">
        <v>48</v>
      </c>
      <c r="I4" s="73"/>
      <c r="J4" s="11" t="s">
        <v>183</v>
      </c>
      <c r="K4" s="73"/>
    </row>
    <row r="5" spans="2:11" ht="21" customHeight="1">
      <c r="B5" s="6"/>
      <c r="C5" s="6"/>
      <c r="D5" s="3" t="s">
        <v>49</v>
      </c>
      <c r="E5" s="3" t="s">
        <v>51</v>
      </c>
      <c r="F5" s="3" t="s">
        <v>49</v>
      </c>
      <c r="G5" s="3" t="s">
        <v>51</v>
      </c>
      <c r="H5" s="3" t="s">
        <v>49</v>
      </c>
      <c r="I5" s="3" t="s">
        <v>51</v>
      </c>
      <c r="J5" s="3" t="s">
        <v>49</v>
      </c>
      <c r="K5" s="3" t="s">
        <v>51</v>
      </c>
    </row>
    <row r="6" spans="2:11" ht="45" customHeight="1">
      <c r="B6" s="53" t="s">
        <v>136</v>
      </c>
      <c r="C6" s="62" t="s">
        <v>138</v>
      </c>
      <c r="D6" s="64">
        <v>15558396</v>
      </c>
      <c r="E6" s="74" t="s">
        <v>50</v>
      </c>
      <c r="F6" s="81"/>
      <c r="G6" s="74"/>
      <c r="H6" s="81"/>
      <c r="I6" s="74"/>
      <c r="J6" s="81"/>
      <c r="K6" s="74"/>
    </row>
    <row r="7" spans="2:11" ht="45" customHeight="1">
      <c r="B7" s="54" t="s">
        <v>139</v>
      </c>
      <c r="C7" s="58" t="s">
        <v>149</v>
      </c>
      <c r="D7" s="65">
        <f>180000+2160</f>
        <v>182160</v>
      </c>
      <c r="E7" s="75" t="s">
        <v>140</v>
      </c>
      <c r="F7" s="82"/>
      <c r="G7" s="75"/>
      <c r="H7" s="82"/>
      <c r="I7" s="75"/>
      <c r="J7" s="82"/>
      <c r="K7" s="75"/>
    </row>
    <row r="8" spans="2:11" ht="45" customHeight="1">
      <c r="B8" s="55" t="s">
        <v>134</v>
      </c>
      <c r="C8" s="58" t="s">
        <v>167</v>
      </c>
      <c r="D8" s="65">
        <f>1500000+112625</f>
        <v>1612625</v>
      </c>
      <c r="E8" s="75" t="s">
        <v>42</v>
      </c>
      <c r="F8" s="82"/>
      <c r="G8" s="75"/>
      <c r="H8" s="82"/>
      <c r="I8" s="75"/>
      <c r="J8" s="82"/>
      <c r="K8" s="75"/>
    </row>
    <row r="9" spans="2:11" ht="45" customHeight="1">
      <c r="B9" s="56" t="s">
        <v>156</v>
      </c>
      <c r="C9" s="59" t="s">
        <v>150</v>
      </c>
      <c r="D9" s="66">
        <v>0</v>
      </c>
      <c r="E9" s="76"/>
      <c r="F9" s="83"/>
      <c r="G9" s="76"/>
      <c r="H9" s="83"/>
      <c r="I9" s="76"/>
      <c r="J9" s="83"/>
      <c r="K9" s="76"/>
    </row>
    <row r="10" spans="2:11" ht="45" customHeight="1">
      <c r="B10" s="57" t="s">
        <v>52</v>
      </c>
      <c r="C10" s="63"/>
      <c r="D10" s="67">
        <f>SUM(D6:D9)</f>
        <v>17353181</v>
      </c>
      <c r="E10" s="77"/>
      <c r="F10" s="70">
        <f>SUM(F6:F9)</f>
        <v>0</v>
      </c>
      <c r="G10" s="77"/>
      <c r="H10" s="70">
        <f>SUM(H6:H9)</f>
        <v>0</v>
      </c>
      <c r="I10" s="77"/>
      <c r="J10" s="70">
        <f>SUM(J6:J9)</f>
        <v>0</v>
      </c>
      <c r="K10" s="77"/>
    </row>
    <row r="12" spans="2:11" ht="19.5" customHeight="1">
      <c r="B12" s="52" t="s">
        <v>56</v>
      </c>
    </row>
    <row r="13" spans="2:11" ht="21" customHeight="1">
      <c r="B13" s="4" t="s">
        <v>47</v>
      </c>
      <c r="C13" s="4" t="s">
        <v>7</v>
      </c>
      <c r="D13" s="11" t="str">
        <f>+D4</f>
        <v>現状（R5年度）</v>
      </c>
      <c r="E13" s="73"/>
      <c r="F13" s="11" t="str">
        <f>+F4</f>
        <v>１年度目（R6年度）</v>
      </c>
      <c r="G13" s="73"/>
      <c r="H13" s="11" t="str">
        <f>+H4</f>
        <v>２年度目（R7年度）</v>
      </c>
      <c r="I13" s="73"/>
      <c r="J13" s="11" t="str">
        <f>+J4</f>
        <v>目標年度（R8年度）</v>
      </c>
      <c r="K13" s="73"/>
    </row>
    <row r="14" spans="2:11" ht="21" customHeight="1">
      <c r="B14" s="6"/>
      <c r="C14" s="6"/>
      <c r="D14" s="3" t="s">
        <v>49</v>
      </c>
      <c r="E14" s="3" t="s">
        <v>51</v>
      </c>
      <c r="F14" s="3" t="s">
        <v>49</v>
      </c>
      <c r="G14" s="3" t="s">
        <v>51</v>
      </c>
      <c r="H14" s="3" t="s">
        <v>49</v>
      </c>
      <c r="I14" s="3" t="s">
        <v>51</v>
      </c>
      <c r="J14" s="3" t="s">
        <v>49</v>
      </c>
      <c r="K14" s="3" t="s">
        <v>51</v>
      </c>
    </row>
    <row r="15" spans="2:11" ht="40" customHeight="1">
      <c r="B15" s="53" t="s">
        <v>130</v>
      </c>
      <c r="C15" s="53" t="s">
        <v>132</v>
      </c>
      <c r="D15" s="68"/>
      <c r="E15" s="78" t="s">
        <v>166</v>
      </c>
      <c r="F15" s="68"/>
      <c r="G15" s="78"/>
      <c r="H15" s="68"/>
      <c r="I15" s="78"/>
      <c r="J15" s="68"/>
      <c r="K15" s="78"/>
    </row>
    <row r="16" spans="2:11" ht="45" customHeight="1">
      <c r="B16" s="54" t="s">
        <v>11</v>
      </c>
      <c r="C16" s="54" t="s">
        <v>133</v>
      </c>
      <c r="D16" s="69">
        <v>1590200</v>
      </c>
      <c r="E16" s="79" t="s">
        <v>160</v>
      </c>
      <c r="F16" s="69"/>
      <c r="G16" s="79"/>
      <c r="H16" s="69"/>
      <c r="I16" s="79"/>
      <c r="J16" s="69"/>
      <c r="K16" s="79"/>
    </row>
    <row r="17" spans="2:11" ht="112.5" customHeight="1">
      <c r="B17" s="58" t="s">
        <v>59</v>
      </c>
      <c r="C17" s="58" t="s">
        <v>25</v>
      </c>
      <c r="D17" s="65">
        <f>763359+180000+1515588+291200+1260075+264800+343440+775200</f>
        <v>5393662</v>
      </c>
      <c r="E17" s="75" t="s">
        <v>123</v>
      </c>
      <c r="F17" s="65"/>
      <c r="G17" s="75"/>
      <c r="H17" s="65"/>
      <c r="I17" s="75"/>
      <c r="J17" s="65"/>
      <c r="K17" s="75"/>
    </row>
    <row r="18" spans="2:11" ht="45" customHeight="1">
      <c r="B18" s="58" t="s">
        <v>144</v>
      </c>
      <c r="C18" s="58" t="s">
        <v>142</v>
      </c>
      <c r="D18" s="65">
        <f>694693+1022688</f>
        <v>1717381</v>
      </c>
      <c r="E18" s="75" t="s">
        <v>143</v>
      </c>
      <c r="F18" s="65"/>
      <c r="G18" s="75"/>
      <c r="H18" s="65"/>
      <c r="I18" s="75"/>
      <c r="J18" s="65"/>
      <c r="K18" s="75"/>
    </row>
    <row r="19" spans="2:11" ht="45" customHeight="1">
      <c r="B19" s="58" t="s">
        <v>40</v>
      </c>
      <c r="C19" s="58" t="s">
        <v>121</v>
      </c>
      <c r="D19" s="65">
        <v>1177702</v>
      </c>
      <c r="E19" s="75" t="s">
        <v>76</v>
      </c>
      <c r="F19" s="65"/>
      <c r="G19" s="75"/>
      <c r="H19" s="65"/>
      <c r="I19" s="75"/>
      <c r="J19" s="65"/>
      <c r="K19" s="75"/>
    </row>
    <row r="20" spans="2:11" ht="45" customHeight="1">
      <c r="B20" s="58" t="s">
        <v>119</v>
      </c>
      <c r="C20" s="58" t="s">
        <v>141</v>
      </c>
      <c r="D20" s="65">
        <v>41960</v>
      </c>
      <c r="E20" s="75" t="s">
        <v>145</v>
      </c>
      <c r="F20" s="65"/>
      <c r="G20" s="75"/>
      <c r="H20" s="65"/>
      <c r="I20" s="75"/>
      <c r="J20" s="65"/>
      <c r="K20" s="75"/>
    </row>
    <row r="21" spans="2:11" ht="45" customHeight="1">
      <c r="B21" s="58" t="s">
        <v>71</v>
      </c>
      <c r="C21" s="58" t="s">
        <v>79</v>
      </c>
      <c r="D21" s="65">
        <v>663050</v>
      </c>
      <c r="E21" s="75" t="s">
        <v>153</v>
      </c>
      <c r="F21" s="65"/>
      <c r="G21" s="75"/>
      <c r="H21" s="65"/>
      <c r="I21" s="75"/>
      <c r="J21" s="65"/>
      <c r="K21" s="75"/>
    </row>
    <row r="22" spans="2:11" ht="45" customHeight="1">
      <c r="B22" s="58" t="s">
        <v>58</v>
      </c>
      <c r="C22" s="58" t="s">
        <v>80</v>
      </c>
      <c r="D22" s="65">
        <v>2157620</v>
      </c>
      <c r="E22" s="75" t="s">
        <v>179</v>
      </c>
      <c r="F22" s="65"/>
      <c r="G22" s="75"/>
      <c r="H22" s="65"/>
      <c r="I22" s="75"/>
      <c r="J22" s="65"/>
      <c r="K22" s="75"/>
    </row>
    <row r="23" spans="2:11" ht="45" customHeight="1">
      <c r="B23" s="58" t="s">
        <v>131</v>
      </c>
      <c r="C23" s="58" t="s">
        <v>53</v>
      </c>
      <c r="D23" s="65">
        <f>184736+352358</f>
        <v>537094</v>
      </c>
      <c r="E23" s="75" t="s">
        <v>116</v>
      </c>
      <c r="F23" s="65"/>
      <c r="G23" s="75"/>
      <c r="H23" s="65"/>
      <c r="I23" s="75"/>
      <c r="J23" s="65"/>
      <c r="K23" s="75"/>
    </row>
    <row r="24" spans="2:11" ht="45" customHeight="1">
      <c r="B24" s="58" t="s">
        <v>61</v>
      </c>
      <c r="C24" s="58" t="s">
        <v>12</v>
      </c>
      <c r="D24" s="65">
        <f>193650+10200</f>
        <v>203850</v>
      </c>
      <c r="E24" s="75" t="s">
        <v>34</v>
      </c>
      <c r="F24" s="65"/>
      <c r="G24" s="75"/>
      <c r="H24" s="65"/>
      <c r="I24" s="75"/>
      <c r="J24" s="65"/>
      <c r="K24" s="75"/>
    </row>
    <row r="25" spans="2:11" ht="45" customHeight="1">
      <c r="B25" s="58" t="s">
        <v>75</v>
      </c>
      <c r="C25" s="58" t="s">
        <v>38</v>
      </c>
      <c r="D25" s="65">
        <f>2011500+50000</f>
        <v>2061500</v>
      </c>
      <c r="E25" s="75" t="s">
        <v>124</v>
      </c>
      <c r="F25" s="65"/>
      <c r="G25" s="75"/>
      <c r="H25" s="65"/>
      <c r="I25" s="75"/>
      <c r="J25" s="65"/>
      <c r="K25" s="75"/>
    </row>
    <row r="26" spans="2:11" ht="45" customHeight="1">
      <c r="B26" s="58" t="s">
        <v>78</v>
      </c>
      <c r="C26" s="58" t="s">
        <v>82</v>
      </c>
      <c r="D26" s="65">
        <f>15000*18</f>
        <v>270000</v>
      </c>
      <c r="E26" s="75" t="s">
        <v>127</v>
      </c>
      <c r="F26" s="65"/>
      <c r="G26" s="75"/>
      <c r="H26" s="65"/>
      <c r="I26" s="75"/>
      <c r="J26" s="65"/>
      <c r="K26" s="75"/>
    </row>
    <row r="27" spans="2:11" ht="45" customHeight="1">
      <c r="B27" s="58" t="s">
        <v>72</v>
      </c>
      <c r="C27" s="58" t="s">
        <v>84</v>
      </c>
      <c r="D27" s="65">
        <f>99000+69720+501984</f>
        <v>670704</v>
      </c>
      <c r="E27" s="75" t="s">
        <v>115</v>
      </c>
      <c r="F27" s="65"/>
      <c r="G27" s="75"/>
      <c r="H27" s="65"/>
      <c r="I27" s="75"/>
      <c r="J27" s="65"/>
      <c r="K27" s="75"/>
    </row>
    <row r="28" spans="2:11" ht="45" customHeight="1">
      <c r="B28" s="58" t="s">
        <v>23</v>
      </c>
      <c r="C28" s="58" t="s">
        <v>83</v>
      </c>
      <c r="D28" s="65">
        <v>26400</v>
      </c>
      <c r="E28" s="75" t="s">
        <v>117</v>
      </c>
      <c r="F28" s="65"/>
      <c r="G28" s="75"/>
      <c r="H28" s="65"/>
      <c r="I28" s="75"/>
      <c r="J28" s="65"/>
      <c r="K28" s="75"/>
    </row>
    <row r="29" spans="2:11" ht="45" customHeight="1">
      <c r="B29" s="58" t="s">
        <v>33</v>
      </c>
      <c r="C29" s="58" t="s">
        <v>151</v>
      </c>
      <c r="D29" s="65">
        <f>28256+20000+50000</f>
        <v>98256</v>
      </c>
      <c r="E29" s="75" t="s">
        <v>110</v>
      </c>
      <c r="F29" s="65"/>
      <c r="G29" s="75"/>
      <c r="H29" s="65"/>
      <c r="I29" s="75"/>
      <c r="J29" s="65"/>
      <c r="K29" s="75"/>
    </row>
    <row r="30" spans="2:11" ht="45" customHeight="1">
      <c r="B30" s="59" t="s">
        <v>155</v>
      </c>
      <c r="C30" s="59" t="s">
        <v>150</v>
      </c>
      <c r="D30" s="66">
        <v>0</v>
      </c>
      <c r="E30" s="75"/>
      <c r="F30" s="66"/>
      <c r="G30" s="75"/>
      <c r="H30" s="66"/>
      <c r="I30" s="75"/>
      <c r="J30" s="66"/>
      <c r="K30" s="75"/>
    </row>
    <row r="31" spans="2:11" ht="45" customHeight="1">
      <c r="B31" s="57" t="s">
        <v>147</v>
      </c>
      <c r="C31" s="63"/>
      <c r="D31" s="70">
        <f>SUM(D15:D30)</f>
        <v>16609379</v>
      </c>
      <c r="E31" s="77"/>
      <c r="F31" s="70">
        <f>SUM(F15:F30)</f>
        <v>0</v>
      </c>
      <c r="G31" s="77"/>
      <c r="H31" s="70">
        <f>SUM(H15:H30)</f>
        <v>0</v>
      </c>
      <c r="I31" s="77"/>
      <c r="J31" s="70">
        <f>SUM(J15:J30)</f>
        <v>0</v>
      </c>
      <c r="K31" s="77"/>
    </row>
    <row r="32" spans="2:11">
      <c r="B32" s="60"/>
      <c r="C32" s="60"/>
      <c r="D32" s="71"/>
      <c r="E32" s="60"/>
      <c r="F32" s="84"/>
      <c r="G32" s="60"/>
      <c r="H32" s="84"/>
      <c r="I32" s="60"/>
      <c r="J32" s="84"/>
      <c r="K32" s="60"/>
    </row>
    <row r="33" spans="2:11" ht="19.5" customHeight="1">
      <c r="B33" s="61" t="s">
        <v>86</v>
      </c>
      <c r="C33" s="37"/>
      <c r="D33" s="72"/>
      <c r="E33" s="37"/>
      <c r="F33" s="30"/>
      <c r="G33" s="37"/>
      <c r="H33" s="30"/>
      <c r="I33" s="37"/>
      <c r="J33" s="30"/>
      <c r="K33" s="37"/>
    </row>
    <row r="34" spans="2:11" ht="45" customHeight="1">
      <c r="B34" s="57" t="s">
        <v>148</v>
      </c>
      <c r="C34" s="63"/>
      <c r="D34" s="67">
        <f>D10-D31</f>
        <v>743802</v>
      </c>
      <c r="E34" s="80"/>
      <c r="F34" s="67">
        <f>F10-F31</f>
        <v>0</v>
      </c>
      <c r="G34" s="80"/>
      <c r="H34" s="70">
        <f>H10-H31</f>
        <v>0</v>
      </c>
      <c r="I34" s="80"/>
      <c r="J34" s="70">
        <f>J10-J31</f>
        <v>0</v>
      </c>
      <c r="K34" s="80"/>
    </row>
  </sheetData>
  <mergeCells count="15">
    <mergeCell ref="D4:E4"/>
    <mergeCell ref="F4:G4"/>
    <mergeCell ref="H4:I4"/>
    <mergeCell ref="J4:K4"/>
    <mergeCell ref="B10:C10"/>
    <mergeCell ref="D13:E13"/>
    <mergeCell ref="F13:G13"/>
    <mergeCell ref="H13:I13"/>
    <mergeCell ref="J13:K13"/>
    <mergeCell ref="B31:C31"/>
    <mergeCell ref="B34:C34"/>
    <mergeCell ref="B4:B5"/>
    <mergeCell ref="C4:C5"/>
    <mergeCell ref="B13:B14"/>
    <mergeCell ref="C13:C14"/>
  </mergeCells>
  <phoneticPr fontId="4"/>
  <pageMargins left="0.39370078740157483" right="0" top="0.78740157480314965" bottom="0.78740157480314965" header="0.51181102362204722" footer="0.51181102362204722"/>
  <pageSetup paperSize="9" scale="30" fitToWidth="1" fitToHeight="1" orientation="portrait" usePrinterDefaults="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sheetPr>
    <tabColor rgb="FF00B050"/>
  </sheetPr>
  <dimension ref="A1:O52"/>
  <sheetViews>
    <sheetView view="pageBreakPreview" topLeftCell="A25" zoomScaleSheetLayoutView="100" workbookViewId="0">
      <selection activeCell="I9" sqref="I9"/>
    </sheetView>
  </sheetViews>
  <sheetFormatPr defaultRowHeight="13.5"/>
  <cols>
    <col min="1" max="1" width="5.36328125" customWidth="1"/>
    <col min="2" max="2" width="2.6328125" customWidth="1"/>
    <col min="3" max="3" width="8.6328125" customWidth="1"/>
    <col min="4" max="4" width="12.6328125" customWidth="1"/>
    <col min="5" max="5" width="6.6328125" customWidth="1"/>
    <col min="6" max="10" width="10.6328125" customWidth="1"/>
    <col min="11" max="11" width="29.453125" customWidth="1"/>
    <col min="12" max="12" width="9.26953125" bestFit="1" customWidth="1"/>
  </cols>
  <sheetData>
    <row r="1" spans="1:15">
      <c r="A1" t="s">
        <v>95</v>
      </c>
    </row>
    <row r="2" spans="1:15" ht="18" customHeight="1">
      <c r="A2" s="85" t="s">
        <v>63</v>
      </c>
      <c r="B2" s="99"/>
      <c r="C2" s="99"/>
      <c r="D2" s="99"/>
      <c r="E2" s="134"/>
      <c r="N2" s="203"/>
    </row>
    <row r="3" spans="1:15" ht="14.25">
      <c r="E3" s="135"/>
    </row>
    <row r="4" spans="1:15" ht="18" customHeight="1">
      <c r="A4" s="86" t="s">
        <v>169</v>
      </c>
      <c r="B4" s="100"/>
      <c r="C4" s="118"/>
      <c r="D4" s="126" t="s">
        <v>101</v>
      </c>
      <c r="E4" s="136"/>
      <c r="F4" s="136"/>
      <c r="G4" s="136"/>
      <c r="H4" s="172" t="s">
        <v>102</v>
      </c>
      <c r="I4" s="173" t="s">
        <v>9</v>
      </c>
      <c r="J4" s="174"/>
      <c r="K4" s="184"/>
      <c r="N4" s="203"/>
    </row>
    <row r="5" spans="1:15" ht="18" customHeight="1">
      <c r="A5" s="87" t="s">
        <v>168</v>
      </c>
      <c r="B5" s="101"/>
      <c r="C5" s="119"/>
      <c r="D5" s="119" t="s">
        <v>171</v>
      </c>
      <c r="E5" s="137"/>
      <c r="F5" s="137"/>
      <c r="G5" s="137"/>
      <c r="H5" s="137"/>
      <c r="I5" s="137"/>
      <c r="J5" s="175"/>
      <c r="K5" s="185"/>
      <c r="N5" s="203"/>
    </row>
    <row r="6" spans="1:15" ht="10" customHeight="1">
      <c r="E6" s="135"/>
    </row>
    <row r="7" spans="1:15">
      <c r="A7" s="88"/>
      <c r="B7" s="102"/>
      <c r="C7" s="102"/>
      <c r="D7" s="102"/>
      <c r="E7" s="138"/>
      <c r="F7" s="154" t="s">
        <v>16</v>
      </c>
      <c r="G7" s="154" t="s">
        <v>30</v>
      </c>
      <c r="H7" s="154" t="s">
        <v>60</v>
      </c>
      <c r="I7" s="154" t="s">
        <v>54</v>
      </c>
      <c r="J7" s="154" t="s">
        <v>98</v>
      </c>
      <c r="K7" s="186" t="s">
        <v>99</v>
      </c>
    </row>
    <row r="8" spans="1:15">
      <c r="A8" s="89"/>
      <c r="B8" s="103"/>
      <c r="C8" s="103"/>
      <c r="D8" s="103"/>
      <c r="E8" s="139"/>
      <c r="F8" s="155" t="s">
        <v>170</v>
      </c>
      <c r="G8" s="155" t="s">
        <v>180</v>
      </c>
      <c r="H8" s="155" t="s">
        <v>184</v>
      </c>
      <c r="I8" s="155" t="s">
        <v>185</v>
      </c>
      <c r="J8" s="155" t="s">
        <v>97</v>
      </c>
      <c r="K8" s="187"/>
    </row>
    <row r="9" spans="1:15" ht="14.25">
      <c r="A9" s="90"/>
      <c r="B9" s="104"/>
      <c r="C9" s="104"/>
      <c r="D9" s="104"/>
      <c r="E9" s="140"/>
      <c r="F9" s="156" t="s">
        <v>91</v>
      </c>
      <c r="G9" s="156" t="s">
        <v>92</v>
      </c>
      <c r="H9" s="156" t="s">
        <v>93</v>
      </c>
      <c r="I9" s="156" t="s">
        <v>94</v>
      </c>
      <c r="J9" s="156" t="s">
        <v>96</v>
      </c>
      <c r="K9" s="188"/>
    </row>
    <row r="10" spans="1:15" ht="30" customHeight="1">
      <c r="A10" s="91" t="s">
        <v>105</v>
      </c>
      <c r="B10" s="105"/>
      <c r="C10" s="105"/>
      <c r="D10" s="105"/>
      <c r="E10" s="141"/>
      <c r="F10" s="157">
        <f>+F13+F15+F16+F14</f>
        <v>17353181</v>
      </c>
      <c r="G10" s="157">
        <f>+G13+G15+G16+G14</f>
        <v>19387644</v>
      </c>
      <c r="H10" s="157">
        <f>+H13+H15+H16+H14</f>
        <v>21088939</v>
      </c>
      <c r="I10" s="157">
        <f>+I13+I15+I16+I14</f>
        <v>26159628</v>
      </c>
      <c r="J10" s="157">
        <f t="shared" ref="J10:J48" si="0">IF(F10=0,"-",+I10/F10*100)</f>
        <v>150.74831525124989</v>
      </c>
      <c r="K10" s="189"/>
    </row>
    <row r="11" spans="1:15" ht="17.25" customHeight="1">
      <c r="A11" s="92"/>
      <c r="B11" s="106" t="s">
        <v>9</v>
      </c>
      <c r="C11" s="120"/>
      <c r="D11" s="127" t="s">
        <v>87</v>
      </c>
      <c r="E11" s="142"/>
      <c r="F11" s="158">
        <f>販売計画!D5</f>
        <v>1590</v>
      </c>
      <c r="G11" s="158">
        <v>1716</v>
      </c>
      <c r="H11" s="158">
        <v>1921</v>
      </c>
      <c r="I11" s="158">
        <v>2532</v>
      </c>
      <c r="J11" s="176">
        <f t="shared" si="0"/>
        <v>159.24528301886792</v>
      </c>
      <c r="K11" s="190" t="s">
        <v>135</v>
      </c>
      <c r="L11" t="s">
        <v>3</v>
      </c>
      <c r="O11" s="204"/>
    </row>
    <row r="12" spans="1:15" ht="17.25" customHeight="1">
      <c r="A12" s="93"/>
      <c r="B12" s="107"/>
      <c r="C12" s="121"/>
      <c r="D12" s="128" t="s">
        <v>88</v>
      </c>
      <c r="E12" s="143"/>
      <c r="F12" s="159">
        <f>販売計画!D7</f>
        <v>67098</v>
      </c>
      <c r="G12" s="159">
        <v>73788</v>
      </c>
      <c r="H12" s="159">
        <v>82603</v>
      </c>
      <c r="I12" s="159">
        <v>108876</v>
      </c>
      <c r="J12" s="177">
        <f t="shared" si="0"/>
        <v>162.26415094339623</v>
      </c>
      <c r="K12" s="191"/>
      <c r="L12" t="s">
        <v>103</v>
      </c>
      <c r="O12" s="204"/>
    </row>
    <row r="13" spans="1:15" ht="17.25" customHeight="1">
      <c r="A13" s="93"/>
      <c r="B13" s="108"/>
      <c r="C13" s="122"/>
      <c r="D13" s="114" t="s">
        <v>90</v>
      </c>
      <c r="E13" s="144"/>
      <c r="F13" s="160">
        <f>販売計画!D9</f>
        <v>12211836</v>
      </c>
      <c r="G13" s="160">
        <v>14241084</v>
      </c>
      <c r="H13" s="160">
        <v>15942379</v>
      </c>
      <c r="I13" s="160">
        <v>21013068</v>
      </c>
      <c r="J13" s="157">
        <f t="shared" si="0"/>
        <v>172.07132490151358</v>
      </c>
      <c r="K13" s="192"/>
      <c r="O13" s="204"/>
    </row>
    <row r="14" spans="1:15" ht="26.5" customHeight="1">
      <c r="A14" s="93"/>
      <c r="B14" s="109" t="s">
        <v>172</v>
      </c>
      <c r="C14" s="123"/>
      <c r="D14" s="123"/>
      <c r="E14" s="145"/>
      <c r="F14" s="160">
        <f>販売計画!D14</f>
        <v>3346560</v>
      </c>
      <c r="G14" s="160">
        <v>3346560</v>
      </c>
      <c r="H14" s="160">
        <v>3346560</v>
      </c>
      <c r="I14" s="160">
        <v>3346560</v>
      </c>
      <c r="J14" s="178">
        <f t="shared" si="0"/>
        <v>100</v>
      </c>
      <c r="K14" s="192" t="s">
        <v>175</v>
      </c>
      <c r="O14" s="204"/>
    </row>
    <row r="15" spans="1:15" ht="30" customHeight="1">
      <c r="A15" s="93"/>
      <c r="B15" s="110" t="s">
        <v>173</v>
      </c>
      <c r="C15" s="124"/>
      <c r="D15" s="124"/>
      <c r="E15" s="146"/>
      <c r="F15" s="161">
        <f>SUM(収支計画!D7:D8)</f>
        <v>1794785</v>
      </c>
      <c r="G15" s="161">
        <v>1800000</v>
      </c>
      <c r="H15" s="161">
        <v>1800000</v>
      </c>
      <c r="I15" s="161">
        <v>1800000</v>
      </c>
      <c r="J15" s="178">
        <f t="shared" si="0"/>
        <v>100.29056405084731</v>
      </c>
      <c r="K15" s="193" t="s">
        <v>159</v>
      </c>
      <c r="O15" s="204"/>
    </row>
    <row r="16" spans="1:15" ht="19.5" customHeight="1">
      <c r="A16" s="94"/>
      <c r="B16" s="111" t="s">
        <v>174</v>
      </c>
      <c r="C16" s="111"/>
      <c r="D16" s="129"/>
      <c r="E16" s="147"/>
      <c r="F16" s="162">
        <f>収支計画!D9</f>
        <v>0</v>
      </c>
      <c r="G16" s="162">
        <f>+F16</f>
        <v>0</v>
      </c>
      <c r="H16" s="162">
        <f>+F16</f>
        <v>0</v>
      </c>
      <c r="I16" s="162">
        <f>+F16</f>
        <v>0</v>
      </c>
      <c r="J16" s="179" t="str">
        <f t="shared" si="0"/>
        <v>-</v>
      </c>
      <c r="K16" s="194" t="s">
        <v>176</v>
      </c>
      <c r="O16" s="204"/>
    </row>
    <row r="17" spans="1:12" ht="30" customHeight="1">
      <c r="A17" s="95" t="s">
        <v>106</v>
      </c>
      <c r="B17" s="112"/>
      <c r="C17" s="112"/>
      <c r="D17" s="112"/>
      <c r="E17" s="148"/>
      <c r="F17" s="163">
        <f>SUMIF($L$18:$L$46,1,F$18:F$46)</f>
        <v>16609378.74</v>
      </c>
      <c r="G17" s="163">
        <f>SUMIF($L$18:$L$46,1,G$18:G$46)</f>
        <v>17594800</v>
      </c>
      <c r="H17" s="163">
        <f>SUMIF($L$18:$L$46,1,H$18:H$46)</f>
        <v>19389300</v>
      </c>
      <c r="I17" s="163">
        <f>SUMIF($L$18:$L$46,1,I$18:I$46)</f>
        <v>22763000</v>
      </c>
      <c r="J17" s="163">
        <f t="shared" si="0"/>
        <v>137.04907544302284</v>
      </c>
      <c r="K17" s="195"/>
    </row>
    <row r="18" spans="1:12" ht="17.25" customHeight="1">
      <c r="A18" s="93"/>
      <c r="B18" s="113" t="s">
        <v>14</v>
      </c>
      <c r="C18" s="113"/>
      <c r="D18" s="130"/>
      <c r="E18" s="149" t="s">
        <v>113</v>
      </c>
      <c r="F18" s="164">
        <f>22500*8+F19</f>
        <v>943359</v>
      </c>
      <c r="G18" s="164">
        <f>22500*8+G19</f>
        <v>1003900</v>
      </c>
      <c r="H18" s="164">
        <f>22500*8+H19</f>
        <v>1102300</v>
      </c>
      <c r="I18" s="164">
        <f>22500*8+I19</f>
        <v>1395600</v>
      </c>
      <c r="J18" s="180">
        <f t="shared" si="0"/>
        <v>147.93943769021126</v>
      </c>
      <c r="K18" s="196" t="s">
        <v>157</v>
      </c>
      <c r="L18" s="98">
        <v>1</v>
      </c>
    </row>
    <row r="19" spans="1:12" ht="17.25" customHeight="1">
      <c r="A19" s="93"/>
      <c r="B19" s="114"/>
      <c r="C19" s="125" t="s">
        <v>77</v>
      </c>
      <c r="D19" s="131"/>
      <c r="E19" s="150" t="s">
        <v>113</v>
      </c>
      <c r="F19" s="165">
        <f>48010/100*F$11</f>
        <v>763359</v>
      </c>
      <c r="G19" s="165">
        <f>ROUND(48010/100*G$11,-2)</f>
        <v>823900</v>
      </c>
      <c r="H19" s="165">
        <f>ROUND(48010/100*H$11,-2)</f>
        <v>922300</v>
      </c>
      <c r="I19" s="165">
        <f>ROUND(48010/100*I$11,-2)</f>
        <v>1215600</v>
      </c>
      <c r="J19" s="181">
        <f t="shared" si="0"/>
        <v>159.2435538193694</v>
      </c>
      <c r="K19" s="197"/>
      <c r="L19" s="98"/>
    </row>
    <row r="20" spans="1:12" ht="17.25" customHeight="1">
      <c r="A20" s="93"/>
      <c r="B20" s="113" t="s">
        <v>64</v>
      </c>
      <c r="C20" s="113"/>
      <c r="D20" s="130"/>
      <c r="E20" s="149" t="s">
        <v>113</v>
      </c>
      <c r="F20" s="164">
        <f>36400*8+F21</f>
        <v>1806788</v>
      </c>
      <c r="G20" s="164">
        <f>36400*8+G21</f>
        <v>1926900</v>
      </c>
      <c r="H20" s="164">
        <f>36400*8+H21</f>
        <v>2122300</v>
      </c>
      <c r="I20" s="164">
        <f>36400*8+I21</f>
        <v>2704700</v>
      </c>
      <c r="J20" s="180">
        <f t="shared" si="0"/>
        <v>149.69658864238639</v>
      </c>
      <c r="K20" s="196" t="s">
        <v>109</v>
      </c>
      <c r="L20" s="98">
        <v>1</v>
      </c>
    </row>
    <row r="21" spans="1:12" ht="17.25" customHeight="1">
      <c r="A21" s="93"/>
      <c r="B21" s="114"/>
      <c r="C21" s="125" t="s">
        <v>77</v>
      </c>
      <c r="D21" s="131"/>
      <c r="E21" s="150" t="s">
        <v>113</v>
      </c>
      <c r="F21" s="165">
        <f>95320/100*F$11</f>
        <v>1515588</v>
      </c>
      <c r="G21" s="165">
        <f>ROUND(95320/100*G$11,-2)</f>
        <v>1635700</v>
      </c>
      <c r="H21" s="165">
        <f>ROUND(95320/100*H$11,-2)</f>
        <v>1831100</v>
      </c>
      <c r="I21" s="165">
        <f>ROUND(95320/100*I$11,-2)</f>
        <v>2413500</v>
      </c>
      <c r="J21" s="181">
        <f t="shared" si="0"/>
        <v>159.24512466448667</v>
      </c>
      <c r="K21" s="197"/>
      <c r="L21" s="98"/>
    </row>
    <row r="22" spans="1:12" ht="17.25" customHeight="1">
      <c r="A22" s="93"/>
      <c r="B22" s="113" t="s">
        <v>55</v>
      </c>
      <c r="C22" s="113"/>
      <c r="D22" s="130"/>
      <c r="E22" s="149" t="s">
        <v>113</v>
      </c>
      <c r="F22" s="164">
        <f>33100*8+F23</f>
        <v>1524875</v>
      </c>
      <c r="G22" s="164">
        <f>33100*8+G23</f>
        <v>1624700</v>
      </c>
      <c r="H22" s="164">
        <f>33100*8+H23</f>
        <v>1787200</v>
      </c>
      <c r="I22" s="164">
        <f>33100*8+I23</f>
        <v>2271400</v>
      </c>
      <c r="J22" s="180">
        <f t="shared" si="0"/>
        <v>148.95647184195425</v>
      </c>
      <c r="K22" s="196" t="s">
        <v>111</v>
      </c>
      <c r="L22" s="98">
        <v>1</v>
      </c>
    </row>
    <row r="23" spans="1:12" ht="17.25" customHeight="1">
      <c r="A23" s="93"/>
      <c r="B23" s="114"/>
      <c r="C23" s="125" t="s">
        <v>77</v>
      </c>
      <c r="D23" s="131"/>
      <c r="E23" s="150" t="s">
        <v>113</v>
      </c>
      <c r="F23" s="165">
        <f>79250/100*F$11</f>
        <v>1260075</v>
      </c>
      <c r="G23" s="165">
        <f>ROUND(79250/100*G$11,-2)</f>
        <v>1359900</v>
      </c>
      <c r="H23" s="165">
        <f>ROUND(79250/100*H$11,-2)</f>
        <v>1522400</v>
      </c>
      <c r="I23" s="165">
        <f>ROUND(79250/100*I$11,-2)</f>
        <v>2006600</v>
      </c>
      <c r="J23" s="181">
        <f t="shared" si="0"/>
        <v>159.24448941531259</v>
      </c>
      <c r="K23" s="197"/>
      <c r="L23" s="98"/>
    </row>
    <row r="24" spans="1:12" ht="17.25" customHeight="1">
      <c r="A24" s="93"/>
      <c r="B24" s="113" t="s">
        <v>65</v>
      </c>
      <c r="C24" s="113"/>
      <c r="D24" s="130"/>
      <c r="E24" s="149" t="s">
        <v>113</v>
      </c>
      <c r="F24" s="164">
        <f>96900*8+F25</f>
        <v>1118640</v>
      </c>
      <c r="G24" s="164">
        <f>96900*8+G25</f>
        <v>1145900</v>
      </c>
      <c r="H24" s="164">
        <f>96900*8+H25</f>
        <v>1190100</v>
      </c>
      <c r="I24" s="164">
        <f>96900*8+I25</f>
        <v>1322100</v>
      </c>
      <c r="J24" s="180">
        <f t="shared" si="0"/>
        <v>118.1881570478438</v>
      </c>
      <c r="K24" s="196" t="s">
        <v>112</v>
      </c>
      <c r="L24" s="98">
        <v>1</v>
      </c>
    </row>
    <row r="25" spans="1:12" ht="17.25" customHeight="1">
      <c r="A25" s="93"/>
      <c r="B25" s="114"/>
      <c r="C25" s="125" t="s">
        <v>77</v>
      </c>
      <c r="D25" s="131"/>
      <c r="E25" s="150" t="s">
        <v>113</v>
      </c>
      <c r="F25" s="165">
        <f>21600/100*F$11</f>
        <v>343440</v>
      </c>
      <c r="G25" s="165">
        <f>ROUND(21600/100*G$11,-2)</f>
        <v>370700</v>
      </c>
      <c r="H25" s="165">
        <f>ROUND(21600/100*H$11,-2)</f>
        <v>414900</v>
      </c>
      <c r="I25" s="165">
        <f>ROUND(21600/100*I$11,-2)</f>
        <v>546900</v>
      </c>
      <c r="J25" s="181">
        <f t="shared" si="0"/>
        <v>159.24178895877009</v>
      </c>
      <c r="K25" s="197"/>
      <c r="L25" s="98"/>
    </row>
    <row r="26" spans="1:12" ht="17.25" customHeight="1">
      <c r="A26" s="93"/>
      <c r="B26" s="113" t="s">
        <v>40</v>
      </c>
      <c r="C26" s="113"/>
      <c r="D26" s="130"/>
      <c r="E26" s="149" t="s">
        <v>113</v>
      </c>
      <c r="F26" s="164">
        <f>12500*8+F27</f>
        <v>1177702</v>
      </c>
      <c r="G26" s="164">
        <f>12500*8+G27</f>
        <v>1263100</v>
      </c>
      <c r="H26" s="164">
        <f>12500*8+H27</f>
        <v>1402100</v>
      </c>
      <c r="I26" s="164">
        <f>12500*8+I27</f>
        <v>1816200</v>
      </c>
      <c r="J26" s="180">
        <f t="shared" si="0"/>
        <v>154.21558254974519</v>
      </c>
      <c r="K26" s="196" t="s">
        <v>128</v>
      </c>
      <c r="L26" s="98">
        <v>1</v>
      </c>
    </row>
    <row r="27" spans="1:12" ht="17.25" customHeight="1">
      <c r="A27" s="93"/>
      <c r="B27" s="114"/>
      <c r="C27" s="125" t="s">
        <v>77</v>
      </c>
      <c r="D27" s="131"/>
      <c r="E27" s="150" t="s">
        <v>113</v>
      </c>
      <c r="F27" s="165">
        <f>67780/100*F$11</f>
        <v>1077702</v>
      </c>
      <c r="G27" s="165">
        <f>ROUND(67780/100*G$11,-2)</f>
        <v>1163100</v>
      </c>
      <c r="H27" s="165">
        <f>ROUND(67780/100*H$11,-2)</f>
        <v>1302100</v>
      </c>
      <c r="I27" s="165">
        <f>ROUND(67780/100*I$11,-2)</f>
        <v>1716200</v>
      </c>
      <c r="J27" s="181">
        <f t="shared" si="0"/>
        <v>159.24624803517113</v>
      </c>
      <c r="K27" s="197"/>
      <c r="L27" s="98"/>
    </row>
    <row r="28" spans="1:12" ht="17.25" customHeight="1">
      <c r="A28" s="93"/>
      <c r="B28" s="113" t="s">
        <v>69</v>
      </c>
      <c r="C28" s="113"/>
      <c r="D28" s="130"/>
      <c r="E28" s="149" t="s">
        <v>113</v>
      </c>
      <c r="F28" s="164">
        <f>F29+352358*80/(F11+80)</f>
        <v>537093.74</v>
      </c>
      <c r="G28" s="164">
        <f>ROUND(G29+352358*80/(G11+80),-2)</f>
        <v>551700</v>
      </c>
      <c r="H28" s="164">
        <f>ROUND(H29+352358*80/(H11+80),-2)</f>
        <v>575600</v>
      </c>
      <c r="I28" s="164">
        <f>ROUND(I29+352358*80/(I11+80),-2)</f>
        <v>646500</v>
      </c>
      <c r="J28" s="180">
        <f t="shared" si="0"/>
        <v>120.37004936978039</v>
      </c>
      <c r="K28" s="196" t="s">
        <v>57</v>
      </c>
      <c r="L28" s="98">
        <v>1</v>
      </c>
    </row>
    <row r="29" spans="1:12" ht="17.25" customHeight="1">
      <c r="A29" s="93"/>
      <c r="B29" s="114"/>
      <c r="C29" s="125" t="s">
        <v>77</v>
      </c>
      <c r="D29" s="131"/>
      <c r="E29" s="150" t="s">
        <v>113</v>
      </c>
      <c r="F29" s="165">
        <f>F11*43*0.7*193*0.04*0.5+352358*F11/(F11+80)</f>
        <v>520214.31485029939</v>
      </c>
      <c r="G29" s="165">
        <f>ROUND(G11*43*0.7*193*0.04*0.5+352358*G11/(G11+80),-2)</f>
        <v>536000</v>
      </c>
      <c r="H29" s="165">
        <f>ROUND(H11*43*0.7*193*0.04*0.5+352358*H11/(H11+80),-2)</f>
        <v>561500</v>
      </c>
      <c r="I29" s="165">
        <f>ROUND(I11*43*0.7*193*0.04*0.5+352358*I11/(I11+80),-2)</f>
        <v>635700</v>
      </c>
      <c r="J29" s="181">
        <f t="shared" si="0"/>
        <v>122.19963616013405</v>
      </c>
      <c r="K29" s="197"/>
      <c r="L29" s="98"/>
    </row>
    <row r="30" spans="1:12" ht="17.25" customHeight="1">
      <c r="A30" s="93"/>
      <c r="B30" s="113" t="s">
        <v>72</v>
      </c>
      <c r="C30" s="113"/>
      <c r="D30" s="130"/>
      <c r="E30" s="149" t="s">
        <v>113</v>
      </c>
      <c r="F30" s="164">
        <f>69720+501984+F31</f>
        <v>670704</v>
      </c>
      <c r="G30" s="164">
        <f>ROUND(69720+501984+G31,-2)</f>
        <v>680700</v>
      </c>
      <c r="H30" s="164">
        <f>ROUND(69720+501984+H31,-2)</f>
        <v>694000</v>
      </c>
      <c r="I30" s="164">
        <f>ROUND(69720+501984+I31,-2)</f>
        <v>733400</v>
      </c>
      <c r="J30" s="180">
        <f t="shared" si="0"/>
        <v>109.34778978506168</v>
      </c>
      <c r="K30" s="196" t="s">
        <v>81</v>
      </c>
      <c r="L30" s="98">
        <v>1</v>
      </c>
    </row>
    <row r="31" spans="1:12" ht="17.25" customHeight="1">
      <c r="A31" s="93"/>
      <c r="B31" s="114"/>
      <c r="C31" s="125" t="s">
        <v>77</v>
      </c>
      <c r="D31" s="131"/>
      <c r="E31" s="150" t="s">
        <v>113</v>
      </c>
      <c r="F31" s="165">
        <f>66000/60*90</f>
        <v>99000</v>
      </c>
      <c r="G31" s="165">
        <f>ROUND((G12-$F$12)/60*90,-2)+$F$31</f>
        <v>109000</v>
      </c>
      <c r="H31" s="165">
        <f>ROUND((H12-$F$12)/60*90,-2)+$F$31</f>
        <v>122300</v>
      </c>
      <c r="I31" s="165">
        <f>ROUND((I12-$F$12)/60*90,-2)+$F$31</f>
        <v>161700</v>
      </c>
      <c r="J31" s="181">
        <f t="shared" si="0"/>
        <v>163.33333333333334</v>
      </c>
      <c r="K31" s="197"/>
      <c r="L31" s="98"/>
    </row>
    <row r="32" spans="1:12" ht="17.25" customHeight="1">
      <c r="A32" s="93"/>
      <c r="B32" s="113" t="s">
        <v>107</v>
      </c>
      <c r="C32" s="113"/>
      <c r="D32" s="130"/>
      <c r="E32" s="149" t="s">
        <v>113</v>
      </c>
      <c r="F32" s="164">
        <f>900*480+F33</f>
        <v>1590200</v>
      </c>
      <c r="G32" s="164">
        <f>900*480+G33</f>
        <v>1602600</v>
      </c>
      <c r="H32" s="164">
        <f>900*480+H33</f>
        <v>1604100</v>
      </c>
      <c r="I32" s="164">
        <f>900*480+I33</f>
        <v>1626200</v>
      </c>
      <c r="J32" s="180">
        <f t="shared" si="0"/>
        <v>102.26386618035468</v>
      </c>
      <c r="K32" s="196" t="s">
        <v>122</v>
      </c>
      <c r="L32" s="98">
        <v>1</v>
      </c>
    </row>
    <row r="33" spans="1:12" ht="17.25" customHeight="1">
      <c r="A33" s="93"/>
      <c r="B33" s="114"/>
      <c r="C33" s="125" t="s">
        <v>77</v>
      </c>
      <c r="D33" s="131"/>
      <c r="E33" s="150" t="s">
        <v>113</v>
      </c>
      <c r="F33" s="165">
        <f>900*(1728-480)+35000</f>
        <v>1158200</v>
      </c>
      <c r="G33" s="169">
        <f>ROUND(+$F$33+(($I$11/$F$11)*(G11/$F$11)*900*8),-2)</f>
        <v>1170600</v>
      </c>
      <c r="H33" s="169">
        <f>ROUND(+$F$33+(($I$11/$F$11)*(H11/$F$11)*900*8),-2)</f>
        <v>1172100</v>
      </c>
      <c r="I33" s="169">
        <f>+$F$33+5*900*8</f>
        <v>1194200</v>
      </c>
      <c r="J33" s="181">
        <f t="shared" si="0"/>
        <v>103.10827145570714</v>
      </c>
      <c r="K33" s="197"/>
      <c r="L33" s="98"/>
    </row>
    <row r="34" spans="1:12" ht="17.25" customHeight="1">
      <c r="A34" s="93"/>
      <c r="B34" s="113" t="s">
        <v>68</v>
      </c>
      <c r="C34" s="113"/>
      <c r="D34" s="130"/>
      <c r="E34" s="149" t="s">
        <v>113</v>
      </c>
      <c r="F34" s="164">
        <f>13500/10*80*(1490/(1490+80))+F35</f>
        <v>2061500</v>
      </c>
      <c r="G34" s="164">
        <f>ROUND(13500/10*80*((1490+G11-$F$11)/(1490+G11-$F$11+80))+G35,-2)</f>
        <v>2165900</v>
      </c>
      <c r="H34" s="164">
        <f>ROUND(13500/10*80*((1490+H11-$F$11)/(1490+H11-$F$11+80))+H35,-2)</f>
        <v>2422400</v>
      </c>
      <c r="I34" s="164">
        <f>ROUND(13500/10*80*((1490+I11-$F$11)/(1490+I11-$F$11+80))+I35,-2)</f>
        <v>3235800</v>
      </c>
      <c r="J34" s="180">
        <f t="shared" si="0"/>
        <v>156.96337618239147</v>
      </c>
      <c r="K34" s="196" t="s">
        <v>114</v>
      </c>
      <c r="L34" s="98">
        <v>1</v>
      </c>
    </row>
    <row r="35" spans="1:12" ht="17.25" customHeight="1">
      <c r="A35" s="93"/>
      <c r="B35" s="114"/>
      <c r="C35" s="125" t="s">
        <v>77</v>
      </c>
      <c r="D35" s="131"/>
      <c r="E35" s="150" t="s">
        <v>113</v>
      </c>
      <c r="F35" s="165">
        <f>13500/10*1490*(1490/(1490+80))+50000</f>
        <v>1959003.1847133758</v>
      </c>
      <c r="G35" s="165">
        <f>ROUND(13500/10*(G11-$F$11)*((G11-$F$11))/((G11-$F$11+80))+$F$35,-2)</f>
        <v>2063000</v>
      </c>
      <c r="H35" s="165">
        <f>ROUND(13500/10*(H11-$F$11)*((H11-$F$11))/((H11-$F$11+80))+$F$35,-2)</f>
        <v>2318900</v>
      </c>
      <c r="I35" s="165">
        <f>ROUND(13500/10*(I11-$F$11)*((I11-$F$11))/((I11-$F$11+80))+$F$35,-2)</f>
        <v>3131200</v>
      </c>
      <c r="J35" s="181">
        <f t="shared" si="0"/>
        <v>159.83639150939561</v>
      </c>
      <c r="K35" s="197"/>
      <c r="L35" s="98"/>
    </row>
    <row r="36" spans="1:12" ht="17.25" customHeight="1">
      <c r="A36" s="93"/>
      <c r="B36" s="113" t="s">
        <v>71</v>
      </c>
      <c r="C36" s="113"/>
      <c r="D36" s="130"/>
      <c r="E36" s="149" t="s">
        <v>113</v>
      </c>
      <c r="F36" s="164">
        <f>+F37</f>
        <v>663050</v>
      </c>
      <c r="G36" s="164">
        <f>+G37</f>
        <v>719100</v>
      </c>
      <c r="H36" s="164">
        <f>+H37</f>
        <v>810300</v>
      </c>
      <c r="I36" s="164">
        <f>+I37</f>
        <v>1082200</v>
      </c>
      <c r="J36" s="180">
        <f t="shared" si="0"/>
        <v>163.21544378252017</v>
      </c>
      <c r="K36" s="196" t="s">
        <v>154</v>
      </c>
      <c r="L36" s="98">
        <v>1</v>
      </c>
    </row>
    <row r="37" spans="1:12" ht="17.25" customHeight="1">
      <c r="A37" s="93"/>
      <c r="B37" s="114"/>
      <c r="C37" s="125" t="s">
        <v>77</v>
      </c>
      <c r="D37" s="131"/>
      <c r="E37" s="150" t="s">
        <v>113</v>
      </c>
      <c r="F37" s="165">
        <f>445*1490</f>
        <v>663050</v>
      </c>
      <c r="G37" s="165">
        <f>ROUND($F$37+445*(G11-$F$11),-2)</f>
        <v>719100</v>
      </c>
      <c r="H37" s="165">
        <f>ROUND($F$37+445*(H11-$F$11),-2)</f>
        <v>810300</v>
      </c>
      <c r="I37" s="165">
        <f>ROUND($F$37+445*(I11-$F$11),-2)</f>
        <v>1082200</v>
      </c>
      <c r="J37" s="181">
        <f t="shared" si="0"/>
        <v>163.21544378252017</v>
      </c>
      <c r="K37" s="198"/>
      <c r="L37" s="98"/>
    </row>
    <row r="38" spans="1:12" ht="17.25" customHeight="1">
      <c r="A38" s="93"/>
      <c r="B38" s="113" t="s">
        <v>67</v>
      </c>
      <c r="C38" s="113"/>
      <c r="D38" s="130"/>
      <c r="E38" s="149" t="s">
        <v>113</v>
      </c>
      <c r="F38" s="164">
        <f>+F39</f>
        <v>270000</v>
      </c>
      <c r="G38" s="164">
        <f>+G39</f>
        <v>0</v>
      </c>
      <c r="H38" s="164">
        <f>+H39</f>
        <v>0</v>
      </c>
      <c r="I38" s="164">
        <f>+I39</f>
        <v>0</v>
      </c>
      <c r="J38" s="180">
        <f t="shared" si="0"/>
        <v>0</v>
      </c>
      <c r="K38" s="196" t="s">
        <v>126</v>
      </c>
      <c r="L38" s="98">
        <v>1</v>
      </c>
    </row>
    <row r="39" spans="1:12" ht="17.25" customHeight="1">
      <c r="A39" s="93"/>
      <c r="B39" s="114"/>
      <c r="C39" s="125" t="s">
        <v>77</v>
      </c>
      <c r="D39" s="131"/>
      <c r="E39" s="150" t="s">
        <v>113</v>
      </c>
      <c r="F39" s="165">
        <f>15000*18</f>
        <v>270000</v>
      </c>
      <c r="G39" s="169">
        <v>0</v>
      </c>
      <c r="H39" s="169">
        <v>0</v>
      </c>
      <c r="I39" s="169">
        <v>0</v>
      </c>
      <c r="J39" s="181">
        <f t="shared" si="0"/>
        <v>0</v>
      </c>
      <c r="K39" s="197"/>
      <c r="L39" s="98"/>
    </row>
    <row r="40" spans="1:12" ht="30" customHeight="1">
      <c r="A40" s="93"/>
      <c r="B40" s="115" t="s">
        <v>61</v>
      </c>
      <c r="C40" s="115"/>
      <c r="D40" s="132"/>
      <c r="E40" s="151" t="s">
        <v>113</v>
      </c>
      <c r="F40" s="166">
        <v>203850</v>
      </c>
      <c r="G40" s="166">
        <v>300000</v>
      </c>
      <c r="H40" s="166">
        <v>500000</v>
      </c>
      <c r="I40" s="166">
        <v>750000</v>
      </c>
      <c r="J40" s="182">
        <f t="shared" si="0"/>
        <v>367.91758646063283</v>
      </c>
      <c r="K40" s="199" t="s">
        <v>178</v>
      </c>
      <c r="L40" s="202">
        <v>1</v>
      </c>
    </row>
    <row r="41" spans="1:12" ht="30" customHeight="1">
      <c r="A41" s="93"/>
      <c r="B41" s="115" t="s">
        <v>58</v>
      </c>
      <c r="C41" s="115"/>
      <c r="D41" s="132"/>
      <c r="E41" s="151" t="s">
        <v>113</v>
      </c>
      <c r="F41" s="166">
        <v>2157620</v>
      </c>
      <c r="G41" s="170">
        <f>+ROUND(((12960000-5000000)/7*0.5)+$F$41,-2)</f>
        <v>2726200</v>
      </c>
      <c r="H41" s="170">
        <f>+ROUND(((12960000-5000000)/7)+$F$41,-2)</f>
        <v>3294800</v>
      </c>
      <c r="I41" s="170">
        <f>+ROUND(((12960000-5000000)/7)+$F$41,-2)</f>
        <v>3294800</v>
      </c>
      <c r="J41" s="182">
        <f t="shared" si="0"/>
        <v>152.70529564983639</v>
      </c>
      <c r="K41" s="199" t="s">
        <v>89</v>
      </c>
      <c r="L41" s="98">
        <v>1</v>
      </c>
    </row>
    <row r="42" spans="1:12" ht="30" customHeight="1">
      <c r="A42" s="93"/>
      <c r="B42" s="113" t="s">
        <v>66</v>
      </c>
      <c r="C42" s="115"/>
      <c r="D42" s="132"/>
      <c r="E42" s="151" t="s">
        <v>104</v>
      </c>
      <c r="F42" s="166">
        <v>694693</v>
      </c>
      <c r="G42" s="170">
        <f t="shared" ref="G42:I46" si="1">+ROUND(F42,-2)</f>
        <v>694700</v>
      </c>
      <c r="H42" s="170">
        <f t="shared" si="1"/>
        <v>694700</v>
      </c>
      <c r="I42" s="170">
        <f t="shared" si="1"/>
        <v>694700</v>
      </c>
      <c r="J42" s="182">
        <f t="shared" si="0"/>
        <v>100.00100763934572</v>
      </c>
      <c r="K42" s="199"/>
      <c r="L42" s="202">
        <v>1</v>
      </c>
    </row>
    <row r="43" spans="1:12" ht="30" customHeight="1">
      <c r="A43" s="93"/>
      <c r="B43" s="113" t="s">
        <v>41</v>
      </c>
      <c r="C43" s="115"/>
      <c r="D43" s="132"/>
      <c r="E43" s="151" t="s">
        <v>104</v>
      </c>
      <c r="F43" s="166">
        <v>1022688</v>
      </c>
      <c r="G43" s="170">
        <f t="shared" si="1"/>
        <v>1022700</v>
      </c>
      <c r="H43" s="170">
        <f t="shared" si="1"/>
        <v>1022700</v>
      </c>
      <c r="I43" s="170">
        <f t="shared" si="1"/>
        <v>1022700</v>
      </c>
      <c r="J43" s="182">
        <f t="shared" si="0"/>
        <v>100.00117337839107</v>
      </c>
      <c r="K43" s="199"/>
      <c r="L43" s="98">
        <v>1</v>
      </c>
    </row>
    <row r="44" spans="1:12" ht="30" customHeight="1">
      <c r="A44" s="93"/>
      <c r="B44" s="115" t="s">
        <v>177</v>
      </c>
      <c r="C44" s="115"/>
      <c r="D44" s="132"/>
      <c r="E44" s="151" t="s">
        <v>104</v>
      </c>
      <c r="F44" s="166">
        <v>41960</v>
      </c>
      <c r="G44" s="170">
        <f t="shared" si="1"/>
        <v>42000</v>
      </c>
      <c r="H44" s="170">
        <f t="shared" si="1"/>
        <v>42000</v>
      </c>
      <c r="I44" s="170">
        <f t="shared" si="1"/>
        <v>42000</v>
      </c>
      <c r="J44" s="182">
        <f t="shared" si="0"/>
        <v>100.09532888465205</v>
      </c>
      <c r="K44" s="199"/>
      <c r="L44" s="202">
        <v>1</v>
      </c>
    </row>
    <row r="45" spans="1:12" ht="30" customHeight="1">
      <c r="A45" s="93"/>
      <c r="B45" s="115" t="s">
        <v>146</v>
      </c>
      <c r="C45" s="115"/>
      <c r="D45" s="132"/>
      <c r="E45" s="151" t="s">
        <v>152</v>
      </c>
      <c r="F45" s="166">
        <f>26400+48256+50000</f>
        <v>124656</v>
      </c>
      <c r="G45" s="170">
        <f t="shared" si="1"/>
        <v>124700</v>
      </c>
      <c r="H45" s="170">
        <f t="shared" si="1"/>
        <v>124700</v>
      </c>
      <c r="I45" s="170">
        <f t="shared" si="1"/>
        <v>124700</v>
      </c>
      <c r="J45" s="182">
        <f t="shared" si="0"/>
        <v>100.03529713772301</v>
      </c>
      <c r="K45" s="199"/>
      <c r="L45" s="98">
        <v>1</v>
      </c>
    </row>
    <row r="46" spans="1:12" ht="30" customHeight="1">
      <c r="A46" s="94"/>
      <c r="B46" s="116" t="s">
        <v>155</v>
      </c>
      <c r="C46" s="116"/>
      <c r="D46" s="133"/>
      <c r="E46" s="152" t="s">
        <v>104</v>
      </c>
      <c r="F46" s="167">
        <v>0</v>
      </c>
      <c r="G46" s="171">
        <f t="shared" si="1"/>
        <v>0</v>
      </c>
      <c r="H46" s="171">
        <f t="shared" si="1"/>
        <v>0</v>
      </c>
      <c r="I46" s="171">
        <f t="shared" si="1"/>
        <v>0</v>
      </c>
      <c r="J46" s="183" t="str">
        <f t="shared" si="0"/>
        <v>-</v>
      </c>
      <c r="K46" s="200"/>
      <c r="L46" s="202">
        <v>1</v>
      </c>
    </row>
    <row r="47" spans="1:12" ht="30" customHeight="1">
      <c r="A47" s="96" t="s">
        <v>118</v>
      </c>
      <c r="B47" s="117"/>
      <c r="C47" s="117"/>
      <c r="D47" s="117" t="s">
        <v>19</v>
      </c>
      <c r="E47" s="153"/>
      <c r="F47" s="168">
        <f>+F10-F17</f>
        <v>743802.25999999978</v>
      </c>
      <c r="G47" s="168">
        <f>+G10-G17</f>
        <v>1792844</v>
      </c>
      <c r="H47" s="168">
        <f>+H10-H17</f>
        <v>1699639</v>
      </c>
      <c r="I47" s="168">
        <f>+I10-I17</f>
        <v>3396628</v>
      </c>
      <c r="J47" s="168">
        <f t="shared" si="0"/>
        <v>456.65739171053355</v>
      </c>
      <c r="K47" s="201"/>
    </row>
    <row r="48" spans="1:12" ht="30" customHeight="1">
      <c r="A48" s="96" t="s">
        <v>120</v>
      </c>
      <c r="B48" s="117"/>
      <c r="C48" s="117"/>
      <c r="D48" s="117" t="s">
        <v>108</v>
      </c>
      <c r="E48" s="153"/>
      <c r="F48" s="168">
        <f>+F10-F17+F32</f>
        <v>2334002.2599999998</v>
      </c>
      <c r="G48" s="168">
        <f>+G10-G17+G32</f>
        <v>3395444</v>
      </c>
      <c r="H48" s="168">
        <f>+H10-H17+H32</f>
        <v>3303739</v>
      </c>
      <c r="I48" s="168">
        <f>+I10-I17+I32</f>
        <v>5022828</v>
      </c>
      <c r="J48" s="168">
        <f t="shared" si="0"/>
        <v>215.20236231476488</v>
      </c>
      <c r="K48" s="201"/>
    </row>
    <row r="49" spans="1:1" ht="15" customHeight="1">
      <c r="A49" t="s">
        <v>162</v>
      </c>
    </row>
    <row r="50" spans="1:1" ht="15" customHeight="1">
      <c r="A50" t="s">
        <v>163</v>
      </c>
    </row>
    <row r="51" spans="1:1" ht="15" customHeight="1">
      <c r="A51" s="97" t="s">
        <v>165</v>
      </c>
    </row>
    <row r="52" spans="1:1" ht="18" customHeight="1">
      <c r="A52" s="98"/>
    </row>
  </sheetData>
  <mergeCells count="21">
    <mergeCell ref="A4:C4"/>
    <mergeCell ref="D4:G4"/>
    <mergeCell ref="I4:J4"/>
    <mergeCell ref="A5:C5"/>
    <mergeCell ref="D5:J5"/>
    <mergeCell ref="B14:E14"/>
    <mergeCell ref="B15:E15"/>
    <mergeCell ref="K7:K9"/>
    <mergeCell ref="B11:C13"/>
    <mergeCell ref="K11:K13"/>
    <mergeCell ref="K18:K19"/>
    <mergeCell ref="K20:K21"/>
    <mergeCell ref="K22:K23"/>
    <mergeCell ref="K24:K25"/>
    <mergeCell ref="K26:K27"/>
    <mergeCell ref="K28:K29"/>
    <mergeCell ref="K30:K31"/>
    <mergeCell ref="K32:K33"/>
    <mergeCell ref="K34:K35"/>
    <mergeCell ref="K36:K37"/>
    <mergeCell ref="K38:K39"/>
  </mergeCells>
  <phoneticPr fontId="4"/>
  <pageMargins left="0.70866141732283472" right="0.70866141732283472" top="0.74803149606299213" bottom="0.74803149606299213" header="0.31496062992125984" footer="0.31496062992125984"/>
  <pageSetup paperSize="9" scale="75" fitToWidth="1" fitToHeight="1" orientation="portrait" usePrinterDefaults="1" r:id="rId1"/>
  <drawing r:id="rId2"/>
  <legacyDrawing r:id="rId3"/>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3</vt:i4>
      </vt:variant>
    </vt:vector>
  </HeadingPairs>
  <TitlesOfParts>
    <vt:vector size="3" baseType="lpstr">
      <vt:lpstr>販売計画</vt:lpstr>
      <vt:lpstr>収支計画</vt:lpstr>
      <vt:lpstr>付加価値額計画</vt:lpstr>
    </vt:vector>
  </TitlesOfParts>
  <LinksUpToDate>false</LinksUpToDate>
  <SharedDoc>false</SharedDoc>
  <HyperlinksChanged>false</HyperlinksChanged>
  <AppVersion>4.1.8</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中国四国農政局</dc:creator>
  <cp:lastModifiedBy>1761</cp:lastModifiedBy>
  <cp:lastPrinted>2021-12-07T10:59:31Z</cp:lastPrinted>
  <dcterms:created xsi:type="dcterms:W3CDTF">2007-04-09T04:49:51Z</dcterms:created>
  <dcterms:modified xsi:type="dcterms:W3CDTF">2024-12-27T06:01:05Z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3.1.8.0</vt:lpwstr>
    </vt:vector>
  </property>
  <property fmtid="{DCFEDD21-7773-49B2-8022-6FC58DB5260B}" pid="3" name="LastSavedVersion">
    <vt:lpwstr>3.1.8.0</vt:lpwstr>
  </property>
  <property fmtid="{DCFEDD21-7773-49B2-8022-6FC58DB5260B}" pid="4" name="LastSavedDate">
    <vt:filetime>2024-12-27T06:01:05Z</vt:filetime>
  </property>
</Properties>
</file>